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3be494bd30e1010/Documents/Chuck's Doc/Wine Making/"/>
    </mc:Choice>
  </mc:AlternateContent>
  <xr:revisionPtr revIDLastSave="34" documentId="8_{B26C0CF3-7EFA-4E15-84B2-5503EBE46D42}" xr6:coauthVersionLast="47" xr6:coauthVersionMax="47" xr10:uidLastSave="{50411CAB-4855-4734-B9C2-16355642ED30}"/>
  <bookViews>
    <workbookView xWindow="-108" yWindow="-108" windowWidth="23256" windowHeight="13896" xr2:uid="{B4634F86-38DE-4BE1-9D0D-D4711493BD2A}"/>
  </bookViews>
  <sheets>
    <sheet name="Master" sheetId="9" r:id="rId1"/>
    <sheet name="Wine Methods FLOW CHARTS" sheetId="10" r:id="rId2"/>
    <sheet name="pH  and TA Info" sheetId="8" r:id="rId3"/>
    <sheet name="pH-TA-Adj effects-impact" sheetId="6" r:id="rId4"/>
    <sheet name="OPTI-Red FT Rouge" sheetId="5" r:id="rId5"/>
    <sheet name="Yeast" sheetId="4" r:id="rId6"/>
    <sheet name="Chemicals and functions" sheetId="3" r:id="rId7"/>
    <sheet name="Wine Blend Caluator" sheetId="2" r:id="rId8"/>
    <sheet name="pH-TA-SO2 ANALYSIS AND CONTROL" sheetId="7" r:id="rId9"/>
  </sheets>
  <externalReferences>
    <externalReference r:id="rId10"/>
  </externalReferences>
  <definedNames>
    <definedName name="_xlnm._FilterDatabase" localSheetId="6" hidden="1">'Chemicals and functions'!$A$1:$F$1</definedName>
    <definedName name="_xlnm._FilterDatabase" localSheetId="5" hidden="1">Yeast!$A$1:$H$100</definedName>
    <definedName name="_xlnm.Print_Area" localSheetId="0">Master!$A$3:$I$59</definedName>
    <definedName name="_xlnm.Print_Area" localSheetId="3">'pH-TA-Adj effects-impact'!$B$2:$I$11</definedName>
    <definedName name="_xlnm.Print_Area" localSheetId="8">'pH-TA-SO2 ANALYSIS AND CONTROL'!$B$2:$E$29</definedName>
    <definedName name="_xlnm.Print_Area" localSheetId="7">'Wine Blend Caluator'!$A$1:$J$18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9" l="1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25" i="9"/>
  <c r="G28" i="9"/>
  <c r="G39" i="9"/>
  <c r="G38" i="9"/>
  <c r="G37" i="9"/>
  <c r="G36" i="9"/>
  <c r="G35" i="9"/>
  <c r="G34" i="9"/>
  <c r="G33" i="9"/>
  <c r="G32" i="9"/>
  <c r="G31" i="9"/>
  <c r="G30" i="9"/>
  <c r="G29" i="9"/>
  <c r="D17" i="9"/>
  <c r="D18" i="9"/>
  <c r="D19" i="9"/>
  <c r="M485" i="9"/>
  <c r="Q485" i="9"/>
  <c r="Q492" i="9"/>
  <c r="R485" i="9"/>
  <c r="R492" i="9"/>
  <c r="S485" i="9"/>
  <c r="S492" i="9"/>
  <c r="M484" i="9"/>
  <c r="M482" i="9"/>
  <c r="R487" i="9"/>
  <c r="Q487" i="9"/>
  <c r="M490" i="9"/>
  <c r="D14" i="9"/>
  <c r="M483" i="9"/>
  <c r="Q483" i="9"/>
  <c r="Q491" i="9"/>
  <c r="R483" i="9"/>
  <c r="R491" i="9"/>
  <c r="S483" i="9"/>
  <c r="S491" i="9"/>
  <c r="M488" i="9"/>
  <c r="M491" i="9"/>
  <c r="M492" i="9"/>
  <c r="D485" i="9"/>
  <c r="H485" i="9"/>
  <c r="H492" i="9"/>
  <c r="I485" i="9"/>
  <c r="I492" i="9"/>
  <c r="J485" i="9"/>
  <c r="J492" i="9"/>
  <c r="D484" i="9"/>
  <c r="D482" i="9"/>
  <c r="I487" i="9"/>
  <c r="H487" i="9"/>
  <c r="D490" i="9"/>
  <c r="D483" i="9"/>
  <c r="H483" i="9"/>
  <c r="H491" i="9"/>
  <c r="I483" i="9"/>
  <c r="I491" i="9"/>
  <c r="J483" i="9"/>
  <c r="J491" i="9"/>
  <c r="D488" i="9"/>
  <c r="D491" i="9"/>
  <c r="D492" i="9"/>
  <c r="Q490" i="9"/>
  <c r="R490" i="9"/>
  <c r="S490" i="9"/>
  <c r="H490" i="9"/>
  <c r="I490" i="9"/>
  <c r="J490" i="9"/>
  <c r="Q489" i="9"/>
  <c r="R489" i="9"/>
  <c r="S489" i="9"/>
  <c r="M489" i="9"/>
  <c r="H489" i="9"/>
  <c r="I489" i="9"/>
  <c r="J489" i="9"/>
  <c r="D489" i="9"/>
  <c r="M487" i="9"/>
  <c r="D487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F158" i="9"/>
  <c r="G158" i="9"/>
  <c r="F157" i="9"/>
  <c r="G157" i="9"/>
  <c r="F156" i="9"/>
  <c r="G156" i="9"/>
  <c r="F155" i="9"/>
  <c r="G155" i="9"/>
  <c r="F154" i="9"/>
  <c r="G154" i="9"/>
  <c r="F153" i="9"/>
  <c r="G153" i="9"/>
  <c r="F152" i="9"/>
  <c r="G152" i="9"/>
  <c r="F151" i="9"/>
  <c r="G151" i="9"/>
  <c r="F150" i="9"/>
  <c r="G150" i="9"/>
  <c r="F149" i="9"/>
  <c r="G149" i="9"/>
  <c r="F148" i="9"/>
  <c r="G148" i="9"/>
  <c r="F147" i="9"/>
  <c r="G147" i="9"/>
  <c r="F146" i="9"/>
  <c r="G146" i="9"/>
  <c r="F145" i="9"/>
  <c r="G145" i="9"/>
  <c r="F144" i="9"/>
  <c r="G144" i="9"/>
  <c r="F143" i="9"/>
  <c r="G143" i="9"/>
  <c r="F142" i="9"/>
  <c r="G142" i="9"/>
  <c r="F141" i="9"/>
  <c r="G141" i="9"/>
  <c r="F140" i="9"/>
  <c r="G140" i="9"/>
  <c r="F139" i="9"/>
  <c r="G139" i="9"/>
  <c r="F138" i="9"/>
  <c r="G138" i="9"/>
  <c r="F137" i="9"/>
  <c r="G137" i="9"/>
  <c r="F136" i="9"/>
  <c r="G136" i="9"/>
  <c r="F135" i="9"/>
  <c r="G135" i="9"/>
  <c r="F134" i="9"/>
  <c r="G134" i="9"/>
  <c r="F133" i="9"/>
  <c r="G133" i="9"/>
  <c r="F132" i="9"/>
  <c r="G132" i="9"/>
  <c r="F131" i="9"/>
  <c r="G131" i="9"/>
  <c r="F130" i="9"/>
  <c r="G130" i="9"/>
  <c r="F129" i="9"/>
  <c r="G129" i="9"/>
  <c r="F128" i="9"/>
  <c r="G128" i="9"/>
  <c r="F127" i="9"/>
  <c r="G127" i="9"/>
  <c r="F126" i="9"/>
  <c r="G126" i="9"/>
  <c r="F125" i="9"/>
  <c r="G125" i="9"/>
  <c r="F124" i="9"/>
  <c r="G124" i="9"/>
  <c r="F123" i="9"/>
  <c r="G123" i="9"/>
  <c r="F122" i="9"/>
  <c r="G122" i="9"/>
  <c r="F121" i="9"/>
  <c r="G121" i="9"/>
  <c r="F120" i="9"/>
  <c r="G120" i="9"/>
  <c r="F119" i="9"/>
  <c r="G119" i="9"/>
  <c r="F118" i="9"/>
  <c r="G118" i="9"/>
  <c r="F117" i="9"/>
  <c r="G117" i="9"/>
  <c r="F116" i="9"/>
  <c r="G116" i="9"/>
  <c r="F115" i="9"/>
  <c r="G115" i="9"/>
  <c r="F114" i="9"/>
  <c r="G114" i="9"/>
  <c r="F113" i="9"/>
  <c r="G113" i="9"/>
  <c r="F112" i="9"/>
  <c r="G112" i="9"/>
  <c r="F111" i="9"/>
  <c r="G111" i="9"/>
  <c r="F110" i="9"/>
  <c r="G110" i="9"/>
  <c r="F109" i="9"/>
  <c r="G109" i="9"/>
  <c r="F108" i="9"/>
  <c r="G108" i="9"/>
  <c r="F107" i="9"/>
  <c r="G107" i="9"/>
  <c r="F106" i="9"/>
  <c r="G106" i="9"/>
  <c r="F105" i="9"/>
  <c r="G105" i="9"/>
  <c r="F104" i="9"/>
  <c r="G104" i="9"/>
  <c r="F103" i="9"/>
  <c r="G103" i="9"/>
  <c r="F102" i="9"/>
  <c r="G102" i="9"/>
  <c r="F101" i="9"/>
  <c r="G101" i="9"/>
  <c r="G97" i="9"/>
  <c r="F88" i="9"/>
  <c r="F85" i="9"/>
  <c r="I54" i="9"/>
  <c r="H54" i="9"/>
  <c r="F54" i="9"/>
  <c r="E54" i="9"/>
  <c r="D52" i="9"/>
  <c r="D51" i="9"/>
  <c r="H18" i="9"/>
  <c r="H3" i="9"/>
  <c r="C47" i="9"/>
  <c r="G25" i="9"/>
  <c r="G44" i="9"/>
  <c r="D44" i="9"/>
  <c r="G43" i="9"/>
  <c r="D43" i="9"/>
  <c r="G42" i="9"/>
  <c r="G41" i="9"/>
  <c r="G40" i="9"/>
  <c r="G27" i="9"/>
  <c r="H19" i="9"/>
  <c r="G19" i="9"/>
  <c r="G18" i="9"/>
  <c r="H17" i="9"/>
  <c r="G17" i="9"/>
  <c r="D15" i="9"/>
  <c r="F13" i="9"/>
  <c r="L5" i="9"/>
  <c r="F12" i="9"/>
  <c r="E12" i="9"/>
  <c r="L3" i="9"/>
  <c r="F11" i="9"/>
  <c r="E11" i="9"/>
  <c r="L6" i="9"/>
  <c r="L4" i="9"/>
  <c r="A34" i="5"/>
  <c r="A36" i="5"/>
  <c r="A38" i="5"/>
  <c r="C24" i="5"/>
  <c r="C26" i="5"/>
  <c r="B12" i="5"/>
  <c r="B14" i="5"/>
  <c r="K8" i="5"/>
  <c r="I9" i="2"/>
  <c r="I10" i="2"/>
  <c r="I11" i="2"/>
  <c r="I12" i="2"/>
  <c r="I18" i="2"/>
  <c r="H18" i="2"/>
  <c r="G18" i="2"/>
  <c r="F18" i="2"/>
  <c r="E18" i="2"/>
  <c r="D18" i="2"/>
  <c r="L7" i="2"/>
  <c r="L8" i="2"/>
  <c r="K9" i="2"/>
  <c r="L9" i="2"/>
  <c r="K10" i="2"/>
  <c r="L10" i="2"/>
  <c r="L11" i="2"/>
  <c r="L12" i="2"/>
  <c r="L16" i="2"/>
  <c r="B17" i="2"/>
  <c r="L17" i="2"/>
  <c r="M17" i="2"/>
  <c r="I16" i="2"/>
  <c r="I17" i="2"/>
  <c r="H16" i="2"/>
  <c r="H17" i="2"/>
  <c r="G16" i="2"/>
  <c r="G17" i="2"/>
  <c r="F16" i="2"/>
  <c r="F17" i="2"/>
  <c r="E16" i="2"/>
  <c r="E17" i="2"/>
  <c r="D17" i="2"/>
  <c r="D16" i="2"/>
  <c r="T15" i="2"/>
  <c r="K12" i="2"/>
  <c r="C12" i="2"/>
  <c r="T10" i="2"/>
  <c r="T11" i="2"/>
  <c r="K11" i="2"/>
  <c r="C11" i="2"/>
  <c r="C10" i="2"/>
  <c r="N8" i="2"/>
  <c r="N9" i="2"/>
  <c r="C9" i="2"/>
  <c r="K8" i="2"/>
  <c r="C8" i="2"/>
  <c r="K7" i="2"/>
  <c r="C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tc={FBFB7050-6848-465C-A07C-F54B7050AB1B}</author>
    <author>tc={5B944BA4-5584-4463-897F-DA663FACB746}</author>
    <author>tc={C0860E27-3094-4608-BFE0-D24C50FFE525}</author>
    <author>tc={9B837AD0-A45C-4960-ADE3-432EBA2391DB}</author>
  </authors>
  <commentList>
    <comment ref="C5" authorId="0" shapeId="0" xr:uid="{FBFB7050-6848-465C-A07C-F54B7050AB1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Enter White or red for type of wine. Values will change for range of analytics. </t>
      </text>
    </comment>
    <comment ref="D17" authorId="1" shapeId="0" xr:uid="{5B944BA4-5584-4463-897F-DA663FACB74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Enter your desired alcohol and the formula will calculate what to add to your must.
</t>
      </text>
    </comment>
    <comment ref="C20" authorId="2" shapeId="0" xr:uid="{C0860E27-3094-4608-BFE0-D24C50FFE525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either Dextrose or Sucrose and the formula will calculate what quantity you need to add to achieve the desired alcohol.</t>
      </text>
    </comment>
    <comment ref="B25" authorId="3" shapeId="0" xr:uid="{9B837AD0-A45C-4960-ADE3-432EBA2391D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Enter your receipt here. Standard columns will are based on receipt. Column G is the multiplier based on volume of batch. Actual is the quantity you decide to use.  </t>
      </text>
    </comment>
  </commentList>
</comments>
</file>

<file path=xl/sharedStrings.xml><?xml version="1.0" encoding="utf-8"?>
<sst xmlns="http://schemas.openxmlformats.org/spreadsheetml/2006/main" count="912" uniqueCount="604">
  <si>
    <t>Blend Calculations</t>
  </si>
  <si>
    <t>Petites blends</t>
  </si>
  <si>
    <t>Component</t>
  </si>
  <si>
    <t>Gallons</t>
  </si>
  <si>
    <t>% Blend</t>
  </si>
  <si>
    <t>pH</t>
  </si>
  <si>
    <t>TA</t>
  </si>
  <si>
    <r>
      <t>SO</t>
    </r>
    <r>
      <rPr>
        <u/>
        <vertAlign val="subscript"/>
        <sz val="14"/>
        <rFont val="Eurostile"/>
        <family val="2"/>
      </rPr>
      <t>2</t>
    </r>
  </si>
  <si>
    <t>rs</t>
  </si>
  <si>
    <t>Brix</t>
  </si>
  <si>
    <t>% Alc</t>
  </si>
  <si>
    <t>[H+]</t>
  </si>
  <si>
    <t>Nebbiolo</t>
  </si>
  <si>
    <t>Barolo</t>
  </si>
  <si>
    <t>Petite Siarh</t>
  </si>
  <si>
    <t>Petit Verdot</t>
  </si>
  <si>
    <t>Wine 5</t>
  </si>
  <si>
    <t>Wine 6</t>
  </si>
  <si>
    <t xml:space="preserve"> </t>
  </si>
  <si>
    <t>Column Totals</t>
  </si>
  <si>
    <t>Blend Totals</t>
  </si>
  <si>
    <t>NOTES</t>
  </si>
  <si>
    <t>The % Blend and % Alc values are calculations, not entry fields.</t>
  </si>
  <si>
    <r>
      <t>The SO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column can be free SO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or total additions</t>
    </r>
  </si>
  <si>
    <t>For unused rows, enter 0 for values.</t>
  </si>
  <si>
    <t>Because some cell references are absolute, additional rows must be inserted manually.</t>
  </si>
  <si>
    <t>Stage</t>
  </si>
  <si>
    <t>Function</t>
  </si>
  <si>
    <t>Chemical / Ingredient</t>
  </si>
  <si>
    <t>Usage</t>
  </si>
  <si>
    <t>Recommended concentration</t>
  </si>
  <si>
    <t>Comments</t>
  </si>
  <si>
    <t>Web Calculators</t>
  </si>
  <si>
    <t>Sanitation</t>
  </si>
  <si>
    <t>Sodium metabisulphite</t>
  </si>
  <si>
    <t>Sanitize equipment</t>
  </si>
  <si>
    <t>45 mL (3 tbsp) per 4 L of water</t>
  </si>
  <si>
    <t>Dissolve in warm water</t>
  </si>
  <si>
    <t>Sodium carbonate (soda ash)</t>
  </si>
  <si>
    <t>Clean plastic equipment</t>
  </si>
  <si>
    <t>8-12 g/L of water</t>
  </si>
  <si>
    <t>Dissolve in hot water</t>
  </si>
  <si>
    <t>Chlorinated cleaner (pink powder)</t>
  </si>
  <si>
    <t>Clean and sanitize equipment</t>
  </si>
  <si>
    <t>5 mL (1 tsp) per 4 L of water</t>
  </si>
  <si>
    <t>Should not be used on plastic equipment or oak barrels</t>
  </si>
  <si>
    <t>Bio-San</t>
  </si>
  <si>
    <t>15 mL (1 tbsp) per 4 L of hot water</t>
  </si>
  <si>
    <t>N/A</t>
  </si>
  <si>
    <t>Bio-Clean</t>
  </si>
  <si>
    <t>Clean equipment</t>
  </si>
  <si>
    <t>15 mL (1 tbsp) per 4 L of warm water</t>
  </si>
  <si>
    <t>Acidity</t>
  </si>
  <si>
    <t>Tartaric acid</t>
  </si>
  <si>
    <t>Increase total acidity or reduce pH</t>
  </si>
  <si>
    <t>1-2 g/L</t>
  </si>
  <si>
    <t>Increase TA by 1 g/L or reduce pH by 0.1 unit</t>
  </si>
  <si>
    <t>Potassium bicarbonate</t>
  </si>
  <si>
    <t>Reduce total acidity</t>
  </si>
  <si>
    <t>Reduce TA by 1 g/L</t>
  </si>
  <si>
    <t>https://winemakermag.com/1301-sulfite-calculator</t>
  </si>
  <si>
    <t>Phosphoric acid</t>
  </si>
  <si>
    <t>Reduce pH in high-TA wines</t>
  </si>
  <si>
    <t>1 or 2 drops of 30% solution/L</t>
  </si>
  <si>
    <t>Citric acid</t>
  </si>
  <si>
    <t>Increase effectiveness of sulphite solution for sanitizing equipment</t>
  </si>
  <si>
    <t>Ascorbic acid</t>
  </si>
  <si>
    <t>Anti-oxidant</t>
  </si>
  <si>
    <t>2-3 g/hL</t>
  </si>
  <si>
    <t>Only to be used with sulphite</t>
  </si>
  <si>
    <t>Acid blend (tartaric, malic, citric) 3:2:1</t>
  </si>
  <si>
    <t>Increase total acidity</t>
  </si>
  <si>
    <t>1g/L</t>
  </si>
  <si>
    <t>Increase TA by 1 g/L</t>
  </si>
  <si>
    <t>Stabilization</t>
  </si>
  <si>
    <t>Potassium sorbate</t>
  </si>
  <si>
    <t>Prevent re-fermentation of bottled wines</t>
  </si>
  <si>
    <t>10-20 g/hL</t>
  </si>
  <si>
    <t>Do not use in ML-fermented wines</t>
  </si>
  <si>
    <t>Potassium metabisulphite</t>
  </si>
  <si>
    <t>A. Crushing of grapes B. Must preparation (concentrated, sterilized, and fresh juices) C. Stabilization D. Bottling</t>
  </si>
  <si>
    <t>A. 100 mg/L B. 50 mg/L C. 50 mg/L D. 50 mg/L</t>
  </si>
  <si>
    <t>A. Decrease to 5-10 mg/L of must for MLF. Dissolve in warm water B, C, and D. Dissolve in warm water</t>
  </si>
  <si>
    <t>Aroma</t>
  </si>
  <si>
    <t>Sodium percarbonate</t>
  </si>
  <si>
    <t>Treat oak barrel spoilage problems</t>
  </si>
  <si>
    <t>1-3 g/L of water</t>
  </si>
  <si>
    <t>Oak extract (10% solution)</t>
  </si>
  <si>
    <t>Add oak aroma to wines</t>
  </si>
  <si>
    <t>Whites: 2 mL/LReds: 4 mL/L</t>
  </si>
  <si>
    <t>Oak chips</t>
  </si>
  <si>
    <t>Whites: 1-2 g/L Reds: 2-4 g/L</t>
  </si>
  <si>
    <t>Fining</t>
  </si>
  <si>
    <t>Pectic enzymes</t>
  </si>
  <si>
    <t>Fining wines</t>
  </si>
  <si>
    <t>Whites: 1-2 g/hL Reds: 2-4 g/hL</t>
  </si>
  <si>
    <t>Dissolve in water</t>
  </si>
  <si>
    <t>Bentonite</t>
  </si>
  <si>
    <t>Fining white and red wines Fining sparkling wines</t>
  </si>
  <si>
    <t>25-100 g/hL 25-50 g/hL</t>
  </si>
  <si>
    <t>Sugar</t>
  </si>
  <si>
    <t>Sweetener-conditioner</t>
  </si>
  <si>
    <t>Sweeten a finished wine</t>
  </si>
  <si>
    <t>12-25 mL/L of wine</t>
  </si>
  <si>
    <t>Prevent renewed fermentation</t>
  </si>
  <si>
    <t>Dextrose or sucrose</t>
  </si>
  <si>
    <t>Increase potential alcohol level</t>
  </si>
  <si>
    <t>17 g/L</t>
  </si>
  <si>
    <t>Increase potential alcohol level by 1.0%</t>
  </si>
  <si>
    <t>Tannin</t>
  </si>
  <si>
    <t>Increase tannin content</t>
  </si>
  <si>
    <t>10-30 g/hL (increase to 50 g/hL when fining high-pectin wines with gelatin)</t>
  </si>
  <si>
    <t>Yeast</t>
  </si>
  <si>
    <t>Yeast nutrients (diammonium phosphate)</t>
  </si>
  <si>
    <t>Enhance fermentation capability of yeast</t>
  </si>
  <si>
    <t>Yeast (active dried)</t>
  </si>
  <si>
    <t>Alcoholic fermentation</t>
  </si>
  <si>
    <t>5 g for 4.5 to 23 L of must</t>
  </si>
  <si>
    <t>Sparkolloid®</t>
  </si>
  <si>
    <t>Fining white and red wines</t>
  </si>
  <si>
    <t>10-40 g/hL</t>
  </si>
  <si>
    <t>Kieselsol</t>
  </si>
  <si>
    <t>25-50 mL/hL</t>
  </si>
  <si>
    <t>Isinglass</t>
  </si>
  <si>
    <t>Fining white wines</t>
  </si>
  <si>
    <t>Liquid: 1 mL/L Powder: 1-3 g/hL</t>
  </si>
  <si>
    <t>Liquid: dilute in wine Powder: dissolve in water</t>
  </si>
  <si>
    <t>Gelatin</t>
  </si>
  <si>
    <t>Fining red wines</t>
  </si>
  <si>
    <t>1-5 g/hL (increase up to 25 g/hL for high-pectin wines)</t>
  </si>
  <si>
    <t>Egg whites</t>
  </si>
  <si>
    <t>5-10 g/hL</t>
  </si>
  <si>
    <t>Combine with a salted water solution</t>
  </si>
  <si>
    <t>Casein</t>
  </si>
  <si>
    <t>Fining white wines and improve colour in white wines</t>
  </si>
  <si>
    <t>50-100 g/hL</t>
  </si>
  <si>
    <t>Tannisol</t>
  </si>
  <si>
    <t>Preserve/stabilize wine</t>
  </si>
  <si>
    <t>1-3 tablets per hL</t>
  </si>
  <si>
    <t>Metatartaric acid</t>
  </si>
  <si>
    <t>Prevent precipitation of tartrate crystals</t>
  </si>
  <si>
    <t>Up to 10g/hL</t>
  </si>
  <si>
    <t>Hydrogen peroxide</t>
  </si>
  <si>
    <t>Reduce free SO2 content</t>
  </si>
  <si>
    <t>50 g/hL (using a 1% solution)</t>
  </si>
  <si>
    <t>Reduce free SO2 content by 10 mg/L</t>
  </si>
  <si>
    <t>Copper sulphate</t>
  </si>
  <si>
    <t>Reduce hydrogen sulphide</t>
  </si>
  <si>
    <t>4 drops/hL using a 1% solution</t>
  </si>
  <si>
    <t>Company</t>
  </si>
  <si>
    <t>Yeast Name</t>
  </si>
  <si>
    <t>Dry/</t>
  </si>
  <si>
    <t>Temperature Range </t>
  </si>
  <si>
    <t>Alcohol Tolerance (%ABV)</t>
  </si>
  <si>
    <t>Description</t>
  </si>
  <si>
    <t>REDS-</t>
  </si>
  <si>
    <t>Liquid</t>
  </si>
  <si>
    <t>Lalvin</t>
  </si>
  <si>
    <t>71B-1122 Narbonne</t>
  </si>
  <si>
    <t>Dry</t>
  </si>
  <si>
    <t>59-86 °F</t>
  </si>
  <si>
    <t>A semi-dry white wine yeast that will enhance fruit flavors and add fruity esters. Can be used with whites, rosés, nouveaus, and concentrates.</t>
  </si>
  <si>
    <t>Red Grapes - Grenache, Nebbiolo, Pinot Noir, Sangiovese, Syrah Zinfandel
Whites - Pinot Grigio and Riesling</t>
  </si>
  <si>
    <r>
      <t>71B-1122</t>
    </r>
    <r>
      <rPr>
        <sz val="11"/>
        <color indexed="8"/>
        <rFont val="Arial"/>
        <family val="2"/>
      </rPr>
      <t>, Excellent for reds, nouveaus and blushs with a moderate fermentation rate. Requires low nutrients and tolerates alcohol to 14%. Temp. range 15° thru 30°c (59°-86°F). Low foaming.</t>
    </r>
  </si>
  <si>
    <t>(15-32 °C)</t>
  </si>
  <si>
    <t>BM 4X4 Red Wine</t>
  </si>
  <si>
    <t>60-82 °F </t>
  </si>
  <si>
    <t>A blend of strains formulated for reliability under difficult conditions. Gives a dependable fermentation with increased mouthfeel, and enhances tobacco, cedar, leather and jam characteristics.</t>
  </si>
  <si>
    <t>(16-28 °C)</t>
  </si>
  <si>
    <t>D-47 White Wine</t>
  </si>
  <si>
    <t>50-86 °F </t>
  </si>
  <si>
    <t>Leaves a wine very full bodied with enhanced mouthfeel. Accentuates varietal character and contributes ripe tropical fruit and citrus notes.</t>
  </si>
  <si>
    <t>Whie Grapes - Chardonnay, Chenin Blanc, Muscat, Pinot Grigio, Riesling, Sauvignon Blunc, Viognier</t>
  </si>
  <si>
    <r>
      <t>ICV D-47</t>
    </r>
    <r>
      <rPr>
        <sz val="11"/>
        <color indexed="8"/>
        <rFont val="Arial"/>
        <family val="2"/>
      </rPr>
      <t>, For whites and blushes with a moderate fermentation speed with little foam. 14% alcohol tolerance with low nutrient requirements. Temp. tolerance of 15°-20°c (59°-68°F)</t>
    </r>
  </si>
  <si>
    <t>(10-30 °C)</t>
  </si>
  <si>
    <t>EC-1118 Prise de Mousse</t>
  </si>
  <si>
    <t>45-95 °F</t>
  </si>
  <si>
    <t>A low foaming, vigorous and fast fermenter good for both reds and whites. It is also ideal for ciders and sparkling wines.</t>
  </si>
  <si>
    <r>
      <t>EC-1118</t>
    </r>
    <r>
      <rPr>
        <sz val="11"/>
        <color indexed="8"/>
        <rFont val="Arial"/>
        <family val="2"/>
      </rPr>
      <t>, Perfect for sparkling wines, dry whites, ciders, stuck and secondary fermentations. Needs little nutrients and tolerates alcohol to 18%. Very fast fermentation speed and is not a low foaming yeast. Temp. range 10°-30°c (50°-86°F).</t>
    </r>
  </si>
  <si>
    <t>(7-35 °C)</t>
  </si>
  <si>
    <t>ICV-K1-V1116 Motpellier White Wine</t>
  </si>
  <si>
    <t>59-86 °F </t>
  </si>
  <si>
    <t>A vigorous and competitive fermenter that, because of its neutral effect on varietal character, is very well suited to fruit wines as well as wines to be made from grapes.</t>
  </si>
  <si>
    <t>Whie Grapes - Muscat</t>
  </si>
  <si>
    <r>
      <t>ICV K1V-1116</t>
    </r>
    <r>
      <rPr>
        <sz val="11"/>
        <color indexed="8"/>
        <rFont val="Arial"/>
        <family val="2"/>
      </rPr>
      <t>, Good for dry whites and aged reds, excellent for fresh fruits. Tolerates alcohol to 18% and has a moderate fermentation speed,low foaming. Low nutritional needs and has a temp. range of 10°-35°c (50°-95°F) Good for a stuck fermentation.</t>
    </r>
  </si>
  <si>
    <t>(15-30 °C)</t>
  </si>
  <si>
    <t>QA23 White Wine</t>
  </si>
  <si>
    <t>59-89 °F </t>
  </si>
  <si>
    <t>Portuguese isolate used for production of fresh, fruity, white wines. Will not give structure to a wine, but it excels at focusing the fruit either alone or as part of a blend.</t>
  </si>
  <si>
    <t>RC-212 Red Wine</t>
  </si>
  <si>
    <t>Ideal for full bodied red wines. Emphasizes fruit and spice notes, accentuates character in red grapes.</t>
  </si>
  <si>
    <t>Red Grapes - Cabernet Franc, Cabernet Sauvignon. Grenache, Merlot, Nebbiolo, Pinot Noir, Sangiovese, Syrah Zinfandel</t>
  </si>
  <si>
    <r>
      <t>RC 212</t>
    </r>
    <r>
      <rPr>
        <sz val="11"/>
        <color indexed="8"/>
        <rFont val="Arial"/>
        <family val="2"/>
      </rPr>
      <t>, Excellent for young and aged reds. This yeast enhances varietal character with a moderate ferm. speed. Alcohol tolerance to 16% with high nutritional requirements. 20°-30°c (68°-86°F) temp. range. Low foaming.</t>
    </r>
  </si>
  <si>
    <t>Red Star</t>
  </si>
  <si>
    <t>Cote Des Blanc</t>
  </si>
  <si>
    <t>55-86 °F </t>
  </si>
  <si>
    <t>One of the most traditional aromatic strains for white wines. An excellent choice for fruity wines.</t>
  </si>
  <si>
    <r>
      <t>Cote des Blancs</t>
    </r>
    <r>
      <rPr>
        <sz val="11"/>
        <color indexed="8"/>
        <rFont val="Arial"/>
        <family val="2"/>
      </rPr>
      <t>-An excellent general purpose yeast for dry and non dry whites, blush and fruit wines. Produces low foam during fermentation. It's temp. range is 18°-30°c (64°-86°F) with a moderate fermentation. Alcohol tolerance 12-14% Not recommended for "in the bottle fermentations". Good for cuvees.</t>
    </r>
  </si>
  <si>
    <t>(13-30 °C)</t>
  </si>
  <si>
    <t>Montrachet</t>
  </si>
  <si>
    <t>54-95 °F </t>
  </si>
  <si>
    <t>A very good fermenter with regular kinetics. Good alcohol tolerance that is useful in producing dry, full-bodied red and white wines. Excellent choice for oak barrel fermentation.</t>
  </si>
  <si>
    <r>
      <t>Montrachet</t>
    </r>
    <r>
      <rPr>
        <sz val="11"/>
        <color indexed="8"/>
        <rFont val="Arial"/>
        <family val="2"/>
      </rPr>
      <t>-A general all purpose yeast producing a neutral flavor active dry wine yeast. Good for dry whites and aged reds and great for dark berry fruit. Good for a stuck fermentation. Will produce firm sediment and has a good tolerance to alcohol of 13% and a temp. range of 15°-30°c (59°-86°F).</t>
    </r>
  </si>
  <si>
    <t>(12-35 °C)</t>
  </si>
  <si>
    <t>Pasteur Blanc (ex Pasteur Champagne)</t>
  </si>
  <si>
    <t>50-95 °F </t>
  </si>
  <si>
    <t>All-purpose and vigorous, a moderately foaming and sulfite-tolerant strain useful in producing white and red wines. Extremely good fermenter. Very high alcohol tolerance. Recommended for treating stuck fermentations.</t>
  </si>
  <si>
    <r>
      <t>Pasteur Champagne</t>
    </r>
    <r>
      <rPr>
        <sz val="11"/>
        <color indexed="8"/>
        <rFont val="Arial"/>
        <family val="2"/>
      </rPr>
      <t>-Good to restart a stuck fermentation and has a high tolerance for alcohol. May be used for all wines and is used for sparkling wines too. Excellent for light fruits, melons and citrus. Alcohol tolerance 13-15%. Temp. range of 15°-30°c (59°-86°F) Great for use as a secondary fermentation.</t>
    </r>
  </si>
  <si>
    <t>(10-35 °C)</t>
  </si>
  <si>
    <t>Pasteur Red</t>
  </si>
  <si>
    <t>63-86 °F </t>
  </si>
  <si>
    <t>One of the best choices for quality red wines. Encourages development of varietal fruit flavors, balanced by complex aromas.</t>
  </si>
  <si>
    <r>
      <t>Red Pasteur</t>
    </r>
    <r>
      <rPr>
        <sz val="11"/>
        <color indexed="8"/>
        <rFont val="Arial"/>
        <family val="2"/>
      </rPr>
      <t>-Perfect for young and full bodied reds and dark fruits. Brings out the fruity flavors. Can add robust to lighter bodied reds. It's temp. range is 18°-30°c (64°-86°F) 13-15% alcohol tolerance.</t>
    </r>
  </si>
  <si>
    <t>(17-30 °C)</t>
  </si>
  <si>
    <t>Premier Curvee</t>
  </si>
  <si>
    <t>50-104 °F </t>
  </si>
  <si>
    <t>One of the fastest, cleanest, and most neutral of all Red Star wine yeasts. Recommended for reds, whites and especially sparkling wines. Excellent choice for oak barrel fermentations.</t>
  </si>
  <si>
    <r>
      <t>Premier Cuvee </t>
    </r>
    <r>
      <rPr>
        <sz val="11"/>
        <color indexed="8"/>
        <rFont val="Arial"/>
        <family val="2"/>
      </rPr>
      <t>(Prise de Mousse)-Commonly used in the commercial production of many white wines, both dry and semi dry. Good for light fruits. Has a good tolerance to alcohol. Will ferment dry. Also effective for restarting a stuck fermentation. Good for sparkling whites. Temp. range 8°-35°c (45°-95°F) Alcohol tolerance to 18%.</t>
    </r>
  </si>
  <si>
    <t>(10-40 °C)</t>
  </si>
  <si>
    <t>Vintner's Harvest</t>
  </si>
  <si>
    <t>AW4 Saccharomyces Cerevisiae</t>
  </si>
  <si>
    <t>68-77 °F </t>
  </si>
  <si>
    <t>Noted for developing powerfully fragrant, full-spice aromatic wines and is a perfect match for Germanic aromatic white wines.</t>
  </si>
  <si>
    <t>(20–25 °C)</t>
  </si>
  <si>
    <t>BV7 Saccharomyces Cerevisiae</t>
  </si>
  <si>
    <t>Ideal for full-bodied, full-flavored dry and sweet white wines.</t>
  </si>
  <si>
    <t>(15–30 °C)</t>
  </si>
  <si>
    <t>CL23 Saccharomyces Bavanus</t>
  </si>
  <si>
    <t>46-75 °F </t>
  </si>
  <si>
    <t>Ideal for crisp, fresh dry white/blush and all sparkling wines. Also for high-alcohol tolerance.</t>
  </si>
  <si>
    <t>(7–24 °C)</t>
  </si>
  <si>
    <t>CR51 Saccharomyces Cerevisiae</t>
  </si>
  <si>
    <t>72-86 °F </t>
  </si>
  <si>
    <t>Ideal for light, fruity red wines for early consumption</t>
  </si>
  <si>
    <t>(22–30 °C)</t>
  </si>
  <si>
    <t>CY17 Saccharomyces  Cerevisiae</t>
  </si>
  <si>
    <t>15% </t>
  </si>
  <si>
    <t>Ideal for sweet white/blush and dessert wines from grape and particularly from country fruits and flowers.</t>
  </si>
  <si>
    <t>MA33 Saccharomyces Cerevisiae</t>
  </si>
  <si>
    <t>64-80 °F </t>
  </si>
  <si>
    <t>Acid reducing strain excellent for fruity white &amp; blush country wines especially where residual sugars are desired.</t>
  </si>
  <si>
    <t>(18–27 °C)</t>
  </si>
  <si>
    <t>R56 Saccharomyces Cerevisiae</t>
  </si>
  <si>
    <t>Ideally suited for rich, full bodied red wines with exceptional flavor complexity.</t>
  </si>
  <si>
    <t>SN9 Saccharomyces Bavanus</t>
  </si>
  <si>
    <t>68-75 °F </t>
  </si>
  <si>
    <t>Good choice for high alcohol and fortified wines but also for most country wines, sweet sparkling wines and ciders.</t>
  </si>
  <si>
    <t>(20–24 °C)</t>
  </si>
  <si>
    <t>VR21 Saccharomyces Cerevisiae</t>
  </si>
  <si>
    <t>Ideal for full fruit varietal and country red wines promoting good structure, balance and color.</t>
  </si>
  <si>
    <t>White Labs</t>
  </si>
  <si>
    <t>WLP700 Flor Sherry</t>
  </si>
  <si>
    <t>&gt;70 °F</t>
  </si>
  <si>
    <t>Develops a film (flor) on the surface of the wine. Creates green almond, granny smith, and nougat characteristics found in Sherry.</t>
  </si>
  <si>
    <t>(&gt;21 °C)</t>
  </si>
  <si>
    <t>WLP705 Sake</t>
  </si>
  <si>
    <t>&gt;70 °F </t>
  </si>
  <si>
    <t>For rice-based fermentations. Produces full body sake character, and subtle fragrance.</t>
  </si>
  <si>
    <t>WLP707 California Pinot Noir</t>
  </si>
  <si>
    <t>Produces fruity and complex aromas. An ideal choice for hardy red wine varieties, as well as aromatic whites such as Chardonnay.</t>
  </si>
  <si>
    <t>WLP709 Sake #9</t>
  </si>
  <si>
    <t>62-68 °F </t>
  </si>
  <si>
    <t>15–16%</t>
  </si>
  <si>
    <t>For use in rice-based fermentations. Traditional strain used in Ginjo-shu production because of the yeast’s development of high fragrance components.</t>
  </si>
  <si>
    <t>(17-20 °C)</t>
  </si>
  <si>
    <t>WLP715 Champagne</t>
  </si>
  <si>
    <t>70-75 °F </t>
  </si>
  <si>
    <t>Neutral, classic yeast, used to produce sparkling wine, cider, dry meads, and dry wines.</t>
  </si>
  <si>
    <t>(21-24 °C)</t>
  </si>
  <si>
    <t>WLP718 Avise Wine Yeast</t>
  </si>
  <si>
    <t>60-90 °F </t>
  </si>
  <si>
    <t>Champagne isolate used for complexity in whites. Contributes elegance, especially in barrel-fermented Chardonnays.</t>
  </si>
  <si>
    <t>(16-32 °C)</t>
  </si>
  <si>
    <t>WLP720 Sweet Mead and Wine</t>
  </si>
  <si>
    <t>Less attenuative than WLP715, leaving some residual sweetness. Slightly fruity, a good choice for sweet mead, cider, as well as blush wines, Gewürztraminer, Sauternes, and Riesling.</t>
  </si>
  <si>
    <r>
      <t>Wyeast</t>
    </r>
    <r>
      <rPr>
        <b/>
        <sz val="11"/>
        <color indexed="8"/>
        <rFont val="Arial"/>
        <family val="2"/>
      </rPr>
      <t>-</t>
    </r>
  </si>
  <si>
    <t>WLP727 Steinberg-Geisenheim</t>
  </si>
  <si>
    <t>50-90 °F </t>
  </si>
  <si>
    <t>14% </t>
  </si>
  <si>
    <t>High fruit/ester production. Perfect for Riesling and Gewürztraminer. Moderate fermentation characteristics and cold-tolerant.</t>
  </si>
  <si>
    <t>(10-32 °C)</t>
  </si>
  <si>
    <t>WLP730 Chardonnay White Wine</t>
  </si>
  <si>
    <t>Dry wine yeast with moderate fermentation speed. Slight ester production, low sulfur dioxide production. A good choice for all white and blush wines.</t>
  </si>
  <si>
    <t>WLP735 French White Wine Yeast</t>
  </si>
  <si>
    <t>16% </t>
  </si>
  <si>
    <t>Classic yeast for white wine fermentation. Slow to moderate fermenter and foam producer. Gives an enhanced creamy texture.</t>
  </si>
  <si>
    <t>WLP740 Merlot Red Wine Yeast</t>
  </si>
  <si>
    <t>18% </t>
  </si>
  <si>
    <t>Neutral, low fusel alcohol production. Vigorous fermentation.</t>
  </si>
  <si>
    <t>WLP749 Assmanshausen </t>
  </si>
  <si>
    <t>German red wine yeast, which results in spicy, fruit aromas. Perfect for Pinot Noir and Zinfandel. Slow to moderate fermenter which is cold tolerant.</t>
  </si>
  <si>
    <t>WLP750 French Red Wine Yeast</t>
  </si>
  <si>
    <t>17% </t>
  </si>
  <si>
    <t>Classic Bordeaux yeast for red wine fermentations. Moderate fermentation characteristics. Tolerates lower fermentation temperatures. Rich, smooth flavor profile.</t>
  </si>
  <si>
    <t>WLP760 Cabernet Red Wine Yeast</t>
  </si>
  <si>
    <t>Moderate fermentation speed. Excellent for full-bodied red wines, ester production complements flavor.</t>
  </si>
  <si>
    <t>WLP770 Suremain Burgundy Wine Yeast</t>
  </si>
  <si>
    <t>Emphasizes fruit aromas in barrel fermentations. High nutrient requirement to avoid volatile acidity production.</t>
  </si>
  <si>
    <t>WLP775 English Cider</t>
  </si>
  <si>
    <t>Medium-High </t>
  </si>
  <si>
    <t>Ferments dry, but retains flavor from apples. Sulfur is produced during fermentation, but will disappear in first two weeks of aging.</t>
  </si>
  <si>
    <t>(20-24 °C)</t>
  </si>
  <si>
    <t>Wyeast</t>
  </si>
  <si>
    <t>4021 Dry White/Sparkling</t>
  </si>
  <si>
    <t>55-75 °F </t>
  </si>
  <si>
    <t>Ferments crisp and dry, ideal for base wines in making sparkling wine. Low foaming, excellent barrel fermentation, good flocculating characteristics.</t>
  </si>
  <si>
    <r>
      <t>4021 Pasteur Champagne</t>
    </r>
    <r>
      <rPr>
        <sz val="11"/>
        <color indexed="8"/>
        <rFont val="Arial"/>
        <family val="2"/>
      </rPr>
      <t>-Great for whites and some reds. A good yeast for a champagne base. Low foaming and ferments crisp and dry. Temperature range 13°-24°C (55°-75°F) Alcohol tolerance 17%</t>
    </r>
  </si>
  <si>
    <t>(13-24 °C)</t>
  </si>
  <si>
    <t>4028 Red</t>
  </si>
  <si>
    <t>55-90 °F, </t>
  </si>
  <si>
    <t>Ideal for red or white wines that mature rapidly with Beaujolais type fruitiness, and for bigger reds requiring aging. Low foaming, low sulfur production.</t>
  </si>
  <si>
    <r>
      <t>4028 Chateau Red</t>
    </r>
    <r>
      <rPr>
        <sz val="11"/>
        <color indexed="8"/>
        <rFont val="Arial"/>
        <family val="2"/>
      </rPr>
      <t>-Good for young red or whites which have lots of fruitiness. Good for hardy reds that need aging. Low production of sulfur. 13°-32°C (55°-90°F) Temperature range. 14% alcohol tolerance.</t>
    </r>
  </si>
  <si>
    <t>(13-32 °C)</t>
  </si>
  <si>
    <t>4134 Sake</t>
  </si>
  <si>
    <t>60-75 °F </t>
  </si>
  <si>
    <t>Sake #9 used in conjunction with Koji for making wide variety of Asian Jius (rice based beverages). Full bodied profile, silky and smooth on palate with low ester production.</t>
  </si>
  <si>
    <t>(15-24 °C)</t>
  </si>
  <si>
    <t>4184 Sweet Mead</t>
  </si>
  <si>
    <t>65-75 °F </t>
  </si>
  <si>
    <t>11% </t>
  </si>
  <si>
    <t>Leaves 2-3% residual sugar in most meads. Rich, fruity profile complements fruit mead fermentation. Use additional nutrients for mead making.</t>
  </si>
  <si>
    <t>(18-24 °C)</t>
  </si>
  <si>
    <t>4242 Fruity White</t>
  </si>
  <si>
    <t>12-13% </t>
  </si>
  <si>
    <t>Produces extremely fruity profile, high ester formation, bready aromas with vanilla notes.</t>
  </si>
  <si>
    <r>
      <t>4242 Chablis</t>
    </r>
    <r>
      <rPr>
        <sz val="11"/>
        <color indexed="8"/>
        <rFont val="Arial"/>
        <family val="2"/>
      </rPr>
      <t> -xcellent for fruity wines, has a high ester formation. Allows the fruity flavor to come thru. Finishes fermentation slightly sweet and soft. 13°-24°C (55°-75°F) temperature range, Tolerance to alcohol 12-13%</t>
    </r>
  </si>
  <si>
    <t>4244 Italian Red</t>
  </si>
  <si>
    <t>Rich, very big and bold, well-rounded profile. Nice soft fruit character with dry crisp finish.</t>
  </si>
  <si>
    <r>
      <t>4244 Chianti</t>
    </r>
    <r>
      <rPr>
        <sz val="11"/>
        <color indexed="8"/>
        <rFont val="Arial"/>
        <family val="2"/>
      </rPr>
      <t>-For big and bold wines with a crisp finish. Temperature range 13°-24°C (55°-75°F), Alcohol Tolerance to 14%</t>
    </r>
  </si>
  <si>
    <t>4267 Summation</t>
  </si>
  <si>
    <t>60-90°F, </t>
  </si>
  <si>
    <t>Produces distinctive intense berry, graham cracker nose. Jammy, rich, very smooth complex profile, slightly vinous.</t>
  </si>
  <si>
    <r>
      <t>4267 Bordeaux</t>
    </r>
    <r>
      <rPr>
        <sz val="11"/>
        <color indexed="8"/>
        <rFont val="Arial"/>
        <family val="2"/>
      </rPr>
      <t>-For a very intense berry flavor in wines. Works well with high sugar contents. Has a 14% alcohol tolerance 15°-32°C (60°-90°F)</t>
    </r>
  </si>
  <si>
    <t>4632 Dry Mead</t>
  </si>
  <si>
    <t>Low foaming with little or no sulfur production. Use additional nutrients for mead making.</t>
  </si>
  <si>
    <t>4766 Cider</t>
  </si>
  <si>
    <t>Crisp and dry fermenting yeast with big, fruity finish. Creates a nice balance for all types of apples, pears, and other fruit. Allows fruit character to dominate the profile</t>
  </si>
  <si>
    <t>4767 Dry/Fortified</t>
  </si>
  <si>
    <t>Mild toast and vanilla nose. Mild fruit profile with balanced depth and complexity. Very dry finish. Dry red and white wines.</t>
  </si>
  <si>
    <r>
      <t>4767 Port</t>
    </r>
    <r>
      <rPr>
        <sz val="11"/>
        <color indexed="8"/>
        <rFont val="Arial"/>
        <family val="2"/>
      </rPr>
      <t>-Mild fruitiness but well balanced. Has a mild toast and vanilla aroma. Excellent for dry reds and whites. Excellent for high sugar musts. Ferments very dry. Add brandy for your classic port wines. 16°-32°C (60°-90°F), Alcohol tolerance 14%</t>
    </r>
  </si>
  <si>
    <t>4783 Sweet White</t>
  </si>
  <si>
    <t>Produces distinct Riesling character. Rich flavor, creamy, fruity profile with nice dry finish and a hint of Riesling sweetness in the aftertaste.</t>
  </si>
  <si>
    <r>
      <t>4783 Rudesheimer</t>
    </r>
    <r>
      <rPr>
        <sz val="11"/>
        <color indexed="8"/>
        <rFont val="Arial"/>
        <family val="2"/>
      </rPr>
      <t>-Excellent for Rieslings. Fruity rich and creamy flavor. Will ferment dry yet leave a hint of sweetness. 13°-24°C (55°-75°F), 14% alcohol tolerance.</t>
    </r>
  </si>
  <si>
    <t>4946 Bold Red/High Alcohol</t>
  </si>
  <si>
    <t>60-85 °F </t>
  </si>
  <si>
    <t>Dominating, strong fermentation characteristics. Ideal for Zinfandel, Pinot Noir, Syrah, or any high sugar must. Good choice for restarting stuck fermentations.</t>
  </si>
  <si>
    <r>
      <t>4946 Zinfandel</t>
    </r>
    <r>
      <rPr>
        <sz val="11"/>
        <color indexed="8"/>
        <rFont val="Arial"/>
        <family val="2"/>
      </rPr>
      <t>-Excellent fermentator. Great for high sugar content musts such as Pinot Noir, Syrah and Zinfandel. Has an 18% alcohol tolerance and great for restarting a stuck fermentation. 16°-29°C (60°-85°F).</t>
    </r>
  </si>
  <si>
    <t>(15–29 °C)</t>
  </si>
  <si>
    <r>
      <t>Enoferm</t>
    </r>
    <r>
      <rPr>
        <sz val="11"/>
        <color indexed="8"/>
        <rFont val="Arial"/>
        <family val="2"/>
      </rPr>
      <t>-</t>
    </r>
  </si>
  <si>
    <r>
      <t>AMH</t>
    </r>
    <r>
      <rPr>
        <sz val="11"/>
        <color indexed="8"/>
        <rFont val="Arial"/>
        <family val="2"/>
      </rPr>
      <t>-Great for reds, good for whites with a slow fermentation rate. Tolerates alcohol to 15% Temp. range of 20°-30°c (68°-86°F). </t>
    </r>
  </si>
  <si>
    <r>
      <t>BDX</t>
    </r>
    <r>
      <rPr>
        <sz val="11"/>
        <color indexed="8"/>
        <rFont val="Arial"/>
        <family val="2"/>
      </rPr>
      <t>-Excellent for reds, moderate fermentation rate. Tolerates up to 16% alcohol. Needs nitrogen for best fermentation. Temp. ranges 18°-30°c (66°-86°F)</t>
    </r>
  </si>
  <si>
    <r>
      <t>BGY</t>
    </r>
    <r>
      <rPr>
        <sz val="11"/>
        <color indexed="8"/>
        <rFont val="Arial"/>
        <family val="2"/>
      </rPr>
      <t>-Excellent for reds with a slow fermentation rate. Temp. range 24°-30°c (76°-86°F) Alcohol tolerance to 15%</t>
    </r>
  </si>
  <si>
    <r>
      <t>CSM</t>
    </r>
    <r>
      <rPr>
        <sz val="11"/>
        <color indexed="8"/>
        <rFont val="Arial"/>
        <family val="2"/>
      </rPr>
      <t>-A very active fermentor for reds with moderate speed. Requires a high amount of nitrogen and tolerates 14% alcohol. Has a temp. range of 15°-32°c (59°-90°F)</t>
    </r>
  </si>
  <si>
    <t>B</t>
  </si>
  <si>
    <r>
      <t>ICV-D47</t>
    </r>
    <r>
      <rPr>
        <sz val="11"/>
        <color indexed="8"/>
        <rFont val="Arial"/>
        <family val="2"/>
      </rPr>
      <t>-Excellent for whites and Rose'. Adequet for reds. Very active fermentation. Tolerates up to 14% alcohol. 15°-20°c (59°-68°F) temp. range. Low nutritional needs.</t>
    </r>
  </si>
  <si>
    <r>
      <t>L2226</t>
    </r>
    <r>
      <rPr>
        <sz val="11"/>
        <color indexed="8"/>
        <rFont val="Arial"/>
        <family val="2"/>
      </rPr>
      <t>-Great for reds and late harvest fruit. Good for stuck fermentations. A fast fermentation rate with alcohol tolerance of 18%. Temp. range 15°-28°c (59°-83°F) Requires nitrogen during fermentation.</t>
    </r>
  </si>
  <si>
    <t xml:space="preserve">     </t>
  </si>
  <si>
    <r>
      <t>M1</t>
    </r>
    <r>
      <rPr>
        <sz val="11"/>
        <color indexed="8"/>
        <rFont val="Arial"/>
        <family val="2"/>
      </rPr>
      <t>-Excellent for whites. Adequet for Rose' and late harvest fruit. Temp. range of 12°-20°c (54°-68°F) Slow fermentation, requires a lot of nitrogen and tolerates alcohol to 16%.</t>
    </r>
  </si>
  <si>
    <t xml:space="preserve">V </t>
  </si>
  <si>
    <r>
      <t>M2</t>
    </r>
    <r>
      <rPr>
        <sz val="11"/>
        <color indexed="8"/>
        <rFont val="Arial"/>
        <family val="2"/>
      </rPr>
      <t>-Excellent for reds, whites and rose'. Medium fermentation speed but very active. 15% alcohol tolerance and a temp. range of 15°-30°c (59°-86°F)</t>
    </r>
  </si>
  <si>
    <r>
      <t>QA23</t>
    </r>
    <r>
      <rPr>
        <sz val="11"/>
        <color indexed="8"/>
        <rFont val="Arial"/>
        <family val="2"/>
      </rPr>
      <t>-A fast fermentor excellent for whites. 16% alcohol tolerance, temp. range 15°-22°c (59°-70°F). Low nutrient requirements.</t>
    </r>
  </si>
  <si>
    <t>1 ton  =</t>
  </si>
  <si>
    <t>lb</t>
  </si>
  <si>
    <t>OPTI-Red</t>
  </si>
  <si>
    <t>gram</t>
  </si>
  <si>
    <t xml:space="preserve">per 15 mlof water per gall </t>
  </si>
  <si>
    <t>Recipe</t>
  </si>
  <si>
    <t>lbs/ton</t>
  </si>
  <si>
    <t>227g per ton</t>
  </si>
  <si>
    <t>lb. of must</t>
  </si>
  <si>
    <t>% of ton</t>
  </si>
  <si>
    <t>Qty per ton</t>
  </si>
  <si>
    <t>g</t>
  </si>
  <si>
    <t>Qty per batch</t>
  </si>
  <si>
    <t>FT Rouge</t>
  </si>
  <si>
    <t>Red Vinifera Must</t>
  </si>
  <si>
    <t>4-9 g / 5 gall</t>
  </si>
  <si>
    <t>Re Non-Vinifera Must</t>
  </si>
  <si>
    <t>5.5g ~ 11g 5gall</t>
  </si>
  <si>
    <t>&lt;lbs of must</t>
  </si>
  <si>
    <t>Must gall</t>
  </si>
  <si>
    <t>lbs to make 5 gallons</t>
  </si>
  <si>
    <t>Number of 5 gallon batches</t>
  </si>
  <si>
    <t>6g per each gall</t>
  </si>
  <si>
    <t>g to add</t>
  </si>
  <si>
    <t>Gram in a lb</t>
  </si>
  <si>
    <t>Total gallons</t>
  </si>
  <si>
    <t>containers</t>
  </si>
  <si>
    <t>gallons per container</t>
  </si>
  <si>
    <t>gallons for each 5 grams of yeast</t>
  </si>
  <si>
    <t>packages of 5 gram yeast to add</t>
  </si>
  <si>
    <t>grams</t>
  </si>
  <si>
    <t xml:space="preserve">total grams </t>
  </si>
  <si>
    <t>grams used</t>
  </si>
  <si>
    <t>Effect of the different acidification and acid reduction methods on the different acid in white</t>
  </si>
  <si>
    <t>ACID (TA) = increase/decrease methods
pH = decrease/increase methods</t>
  </si>
  <si>
    <t xml:space="preserve">Effect on </t>
  </si>
  <si>
    <t>Malic acid</t>
  </si>
  <si>
    <t>Lactic acid</t>
  </si>
  <si>
    <t>Addition of tartaric acid</t>
  </si>
  <si>
    <t>Increase (TA)
Decrease (pH)</t>
  </si>
  <si>
    <t>Addition of tartaric/malic/citric acid blend</t>
  </si>
  <si>
    <t>Potassium bicarbonate Solution</t>
  </si>
  <si>
    <t>Decrease (TA)
Increase (pH)</t>
  </si>
  <si>
    <t>ACIDEX or SIHADEX</t>
  </si>
  <si>
    <t>Malolactic Fermentation</t>
  </si>
  <si>
    <t>Cold Stabilization</t>
  </si>
  <si>
    <t>Addition of Water</t>
  </si>
  <si>
    <t>Recommended TA and pH ranges for different types of must and wines</t>
  </si>
  <si>
    <t>Type of wine</t>
  </si>
  <si>
    <r>
      <t xml:space="preserve">TA Range for </t>
    </r>
    <r>
      <rPr>
        <sz val="11"/>
        <color rgb="FFFF0000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(g/l)</t>
    </r>
  </si>
  <si>
    <r>
      <t xml:space="preserve">TA Range for </t>
    </r>
    <r>
      <rPr>
        <sz val="11"/>
        <color rgb="FFFF0000"/>
        <rFont val="Calibri"/>
        <family val="2"/>
        <scheme val="minor"/>
      </rPr>
      <t>Wine</t>
    </r>
    <r>
      <rPr>
        <sz val="11"/>
        <color theme="1"/>
        <rFont val="Calibri"/>
        <family val="2"/>
        <scheme val="minor"/>
      </rPr>
      <t xml:space="preserve"> (g/l)</t>
    </r>
  </si>
  <si>
    <t>pH range for must and wine</t>
  </si>
  <si>
    <t>White</t>
  </si>
  <si>
    <t>7.0 - 9.0</t>
  </si>
  <si>
    <t>5.0 - 7.5</t>
  </si>
  <si>
    <t>3.1 - 3.4</t>
  </si>
  <si>
    <t>Red</t>
  </si>
  <si>
    <t>6.0 - 8.0</t>
  </si>
  <si>
    <t>4.0  5.5</t>
  </si>
  <si>
    <t>3.3 - 3.6</t>
  </si>
  <si>
    <t>Sweet White</t>
  </si>
  <si>
    <t>7.5 - 9.0</t>
  </si>
  <si>
    <t>5.5 - 7.5</t>
  </si>
  <si>
    <t>3.1 - 3.2</t>
  </si>
  <si>
    <t>Recommended levels of free SO2 for various winemaking operations</t>
  </si>
  <si>
    <t>Operation</t>
  </si>
  <si>
    <t>Free SO2 (mg/l)</t>
  </si>
  <si>
    <t>Crushing grapes (no Malolactic)</t>
  </si>
  <si>
    <t>=/&lt;50</t>
  </si>
  <si>
    <t>Crushing grapes (If using Malolactic)</t>
  </si>
  <si>
    <t>&lt;25</t>
  </si>
  <si>
    <t>Must Preparation</t>
  </si>
  <si>
    <t>Concentrate</t>
  </si>
  <si>
    <t>Sterilization juice</t>
  </si>
  <si>
    <t>Stabilization - Based on pH &amp; Alc% (See table below)</t>
  </si>
  <si>
    <t>Bottling - Based on pH &amp; Alc% (See table below)</t>
  </si>
  <si>
    <t>pH &amp; Alc%</t>
  </si>
  <si>
    <t>Required SO2 @ Stabilization/Bottling based on pH  (excluding Alc %)</t>
  </si>
  <si>
    <t>Ports</t>
  </si>
  <si>
    <r>
      <t>2.9</t>
    </r>
    <r>
      <rPr>
        <sz val="8"/>
        <rFont val="Calibri"/>
        <family val="2"/>
        <scheme val="minor"/>
      </rPr>
      <t xml:space="preserve"> Sour</t>
    </r>
  </si>
  <si>
    <t>8 mg/l</t>
  </si>
  <si>
    <t>10 mg/l</t>
  </si>
  <si>
    <t>12 mg/l</t>
  </si>
  <si>
    <t>3.0 Sour</t>
  </si>
  <si>
    <t>9 mg/l</t>
  </si>
  <si>
    <t>18 mg/l</t>
  </si>
  <si>
    <r>
      <rPr>
        <b/>
        <sz val="11"/>
        <rFont val="Calibri"/>
        <family val="2"/>
        <scheme val="minor"/>
      </rPr>
      <t xml:space="preserve">3.1 </t>
    </r>
    <r>
      <rPr>
        <b/>
        <sz val="8"/>
        <rFont val="Calibri"/>
        <family val="2"/>
        <scheme val="minor"/>
      </rPr>
      <t>Idea White</t>
    </r>
  </si>
  <si>
    <t>16 mg/l</t>
  </si>
  <si>
    <t>20 mg/l</t>
  </si>
  <si>
    <r>
      <t xml:space="preserve">3.2 </t>
    </r>
    <r>
      <rPr>
        <b/>
        <sz val="8"/>
        <rFont val="Calibri"/>
        <family val="2"/>
        <scheme val="minor"/>
      </rPr>
      <t>Ideal White</t>
    </r>
  </si>
  <si>
    <t>26 mg/l</t>
  </si>
  <si>
    <r>
      <t xml:space="preserve">3.3 
</t>
    </r>
    <r>
      <rPr>
        <b/>
        <sz val="8"/>
        <rFont val="Calibri"/>
        <family val="2"/>
        <scheme val="minor"/>
      </rPr>
      <t>Ideal White/Red</t>
    </r>
  </si>
  <si>
    <t>17 mg/l</t>
  </si>
  <si>
    <t>31 mg/l</t>
  </si>
  <si>
    <t>.</t>
  </si>
  <si>
    <r>
      <t xml:space="preserve">3.4 
</t>
    </r>
    <r>
      <rPr>
        <b/>
        <sz val="8"/>
        <rFont val="Calibri"/>
        <family val="2"/>
        <scheme val="minor"/>
      </rPr>
      <t>Ideal White/Red</t>
    </r>
  </si>
  <si>
    <t>40 mg/l</t>
  </si>
  <si>
    <r>
      <t xml:space="preserve">3.5 </t>
    </r>
    <r>
      <rPr>
        <b/>
        <sz val="8"/>
        <rFont val="Calibri"/>
        <family val="2"/>
        <scheme val="minor"/>
      </rPr>
      <t>Ideal Red</t>
    </r>
  </si>
  <si>
    <t>25 mg/l</t>
  </si>
  <si>
    <t>50 mg/l</t>
  </si>
  <si>
    <r>
      <rPr>
        <b/>
        <sz val="11"/>
        <rFont val="Calibri"/>
        <family val="2"/>
        <scheme val="minor"/>
      </rPr>
      <t xml:space="preserve">3.6 </t>
    </r>
    <r>
      <rPr>
        <b/>
        <sz val="8"/>
        <rFont val="Calibri"/>
        <family val="2"/>
        <scheme val="minor"/>
      </rPr>
      <t>Ideal Red</t>
    </r>
  </si>
  <si>
    <t>62 mg/l</t>
  </si>
  <si>
    <r>
      <t xml:space="preserve">3.7 </t>
    </r>
    <r>
      <rPr>
        <sz val="8"/>
        <rFont val="Calibri"/>
        <family val="2"/>
        <scheme val="minor"/>
      </rPr>
      <t xml:space="preserve">Unstable </t>
    </r>
  </si>
  <si>
    <t>63 mg/l</t>
  </si>
  <si>
    <t>79 mg/l</t>
  </si>
  <si>
    <r>
      <t>3.8</t>
    </r>
    <r>
      <rPr>
        <sz val="8"/>
        <rFont val="Calibri"/>
        <family val="2"/>
        <scheme val="minor"/>
      </rPr>
      <t xml:space="preserve"> Unstable</t>
    </r>
  </si>
  <si>
    <t>89 mg/l</t>
  </si>
  <si>
    <r>
      <t>3.9</t>
    </r>
    <r>
      <rPr>
        <sz val="8"/>
        <rFont val="Calibri"/>
        <family val="2"/>
        <scheme val="minor"/>
      </rPr>
      <t xml:space="preserve"> Unstable</t>
    </r>
  </si>
  <si>
    <t>98 mg/l</t>
  </si>
  <si>
    <t>124 mg/l</t>
  </si>
  <si>
    <r>
      <t>4.0</t>
    </r>
    <r>
      <rPr>
        <sz val="8"/>
        <rFont val="Calibri"/>
        <family val="2"/>
        <scheme val="minor"/>
      </rPr>
      <t xml:space="preserve"> Unstable</t>
    </r>
  </si>
  <si>
    <t>78 mg/l</t>
  </si>
  <si>
    <t>125 mg/l</t>
  </si>
  <si>
    <t>158 mg/l</t>
  </si>
  <si>
    <t>Date</t>
  </si>
  <si>
    <t>Tank/Vessel</t>
  </si>
  <si>
    <t>Volume Gal</t>
  </si>
  <si>
    <t>White ph:</t>
  </si>
  <si>
    <t>Red ph:</t>
  </si>
  <si>
    <t>Variety</t>
  </si>
  <si>
    <t>Origin</t>
  </si>
  <si>
    <t>Condition</t>
  </si>
  <si>
    <t>White TA M:</t>
  </si>
  <si>
    <t>Red TA M:</t>
  </si>
  <si>
    <t>White TA W:</t>
  </si>
  <si>
    <t>Rd TA W:</t>
  </si>
  <si>
    <t>1st Analytics</t>
  </si>
  <si>
    <t>Actual</t>
  </si>
  <si>
    <t>Target of Must</t>
  </si>
  <si>
    <t>Diff</t>
  </si>
  <si>
    <t>Volume</t>
  </si>
  <si>
    <t>Original pH</t>
  </si>
  <si>
    <t>Original TA</t>
  </si>
  <si>
    <t>Original S.G</t>
  </si>
  <si>
    <t>Original Brix</t>
  </si>
  <si>
    <t>% Alcohol .990</t>
  </si>
  <si>
    <t>Adjust Must:</t>
  </si>
  <si>
    <t>Yes</t>
  </si>
  <si>
    <t>If Dextrose</t>
  </si>
  <si>
    <t>If Sucrose</t>
  </si>
  <si>
    <t>Desired Alcohol</t>
  </si>
  <si>
    <t>Add LBS to Must</t>
  </si>
  <si>
    <t>Desired S.G.</t>
  </si>
  <si>
    <t>Chg. to Volume</t>
  </si>
  <si>
    <t>Desired Brix</t>
  </si>
  <si>
    <t>Chg. to acidity</t>
  </si>
  <si>
    <t>Sugar Used:</t>
  </si>
  <si>
    <t>Sucrose</t>
  </si>
  <si>
    <t>Receipt:</t>
  </si>
  <si>
    <t>Standard</t>
  </si>
  <si>
    <t>Cal. BOM Actual % of Recipe</t>
  </si>
  <si>
    <t>UOM</t>
  </si>
  <si>
    <t>Adjusts</t>
  </si>
  <si>
    <t>Cabernet Sauvignon from Home Wine Makers Companion</t>
  </si>
  <si>
    <t>Cabernet Sauvignon juice</t>
  </si>
  <si>
    <t>Gal</t>
  </si>
  <si>
    <t>lbs.</t>
  </si>
  <si>
    <t>Acid Blend</t>
  </si>
  <si>
    <t>Grams</t>
  </si>
  <si>
    <t>Acid Tartaric</t>
  </si>
  <si>
    <t>The moment the grapes are picked determines the acidity, sweetness, and flavor of the wine</t>
  </si>
  <si>
    <t>Acid Malic</t>
  </si>
  <si>
    <t>Poirierm71:
Grapes = 20Lbs with skin = 1.2 gallon of wine</t>
  </si>
  <si>
    <t>Acid Citric</t>
  </si>
  <si>
    <t>Sugar Addition Equation:</t>
  </si>
  <si>
    <t>Potassium Bicarbonate (solution)</t>
  </si>
  <si>
    <t>To raise 1 gallon of must, 1 Brix, add 1.5 oz of sugar.</t>
  </si>
  <si>
    <t>ACIDEX/SIHADEX</t>
  </si>
  <si>
    <t>Water</t>
  </si>
  <si>
    <t>Yeast Nutrient</t>
  </si>
  <si>
    <t>tsp</t>
  </si>
  <si>
    <t>Yeast energizer</t>
  </si>
  <si>
    <t>White grape juice</t>
  </si>
  <si>
    <t>Oz</t>
  </si>
  <si>
    <t>Epsom Salts</t>
  </si>
  <si>
    <t>G</t>
  </si>
  <si>
    <t>Grape Tannin</t>
  </si>
  <si>
    <t>Potassium Metabisulfite tables</t>
  </si>
  <si>
    <t>tables</t>
  </si>
  <si>
    <t>Potassium Metabisulfite powder</t>
  </si>
  <si>
    <t>2nd Analytics</t>
  </si>
  <si>
    <t>Light Honey</t>
  </si>
  <si>
    <t>Bentonite Clay (1 or 2 grams per gall)</t>
  </si>
  <si>
    <t>Oak -Mor</t>
  </si>
  <si>
    <t>Malolactic Cultures</t>
  </si>
  <si>
    <t>1 Sachet White Wine Yeast (Lalvin D47 is a good choice)  </t>
  </si>
  <si>
    <t>Est. Start</t>
  </si>
  <si>
    <t>Delaware</t>
  </si>
  <si>
    <t>Blend</t>
  </si>
  <si>
    <t>Ending</t>
  </si>
  <si>
    <t>Date Bottled</t>
  </si>
  <si>
    <t>Number of bottles</t>
  </si>
  <si>
    <t>Taste Description:</t>
  </si>
  <si>
    <t>note</t>
  </si>
  <si>
    <t>Type of Operation</t>
  </si>
  <si>
    <t>Ingredient Added</t>
  </si>
  <si>
    <t>Quantity Added</t>
  </si>
  <si>
    <t>Temp (F)</t>
  </si>
  <si>
    <t>Brix (B)</t>
  </si>
  <si>
    <t>Potential % Alc./vol.</t>
  </si>
  <si>
    <t>TA(g/L)</t>
  </si>
  <si>
    <t>Free SO2 (mg/L)</t>
  </si>
  <si>
    <t>Remarks  &amp; Observations</t>
  </si>
  <si>
    <t>S.G. Calculator</t>
  </si>
  <si>
    <t>Cal'ed S.G.=</t>
  </si>
  <si>
    <t>Brix Calculator</t>
  </si>
  <si>
    <t>S.G.</t>
  </si>
  <si>
    <t>Cal'ed Brix</t>
  </si>
  <si>
    <t>https://winemakermag.com/resource/1301-sulfite-calculator</t>
  </si>
  <si>
    <t>Created by: Charles Poirier</t>
  </si>
  <si>
    <t>Degrees</t>
  </si>
  <si>
    <t>Brixs</t>
  </si>
  <si>
    <t>SG</t>
  </si>
  <si>
    <t>% Potential</t>
  </si>
  <si>
    <t>Alcohol</t>
  </si>
  <si>
    <t>Table</t>
  </si>
  <si>
    <t>Sweet</t>
  </si>
  <si>
    <t>Dextrose</t>
  </si>
  <si>
    <t>Sugar Addition Calculator - Dextrose</t>
  </si>
  <si>
    <t>Sugar Addition Calculator - Sucrose</t>
  </si>
  <si>
    <t>Sugars</t>
  </si>
  <si>
    <t xml:space="preserve">Gallons wine: </t>
  </si>
  <si>
    <t xml:space="preserve">Starting brix: </t>
  </si>
  <si>
    <t>Integer vals=</t>
  </si>
  <si>
    <t xml:space="preserve">Starting acidity: </t>
  </si>
  <si>
    <t xml:space="preserve">Desired brix: </t>
  </si>
  <si>
    <t xml:space="preserve">Lb sugar = </t>
  </si>
  <si>
    <t>Max amel=</t>
  </si>
  <si>
    <t xml:space="preserve">Final volume = </t>
  </si>
  <si>
    <t xml:space="preserve">Final acidity = </t>
  </si>
  <si>
    <t>Sugar to 25=</t>
  </si>
  <si>
    <t xml:space="preserve">Permit amel = </t>
  </si>
  <si>
    <t xml:space="preserve">Added volume = </t>
  </si>
  <si>
    <t>Volume=</t>
  </si>
  <si>
    <t xml:space="preserve">Remain amel = </t>
  </si>
  <si>
    <t>Lb Sucrose</t>
  </si>
  <si>
    <t>Lb Dextrose</t>
  </si>
  <si>
    <t xml:space="preserve">Grape tannins - See Scott Labs https://scott-labs-static.sfo3.cdn.digitaloceanspaces.com/legacy-guide-pdfs/Scott-2022-Winemaking-Handbook-Web.pdf 
</t>
  </si>
  <si>
    <t>https://scott-labs-static.sfo3.cdn.digitaloceanspaces.com/legacy-guide-pdfs/Scott-2022-Winemaking-Handbook-Web.pdf</t>
  </si>
  <si>
    <t>Oak added at fermentation</t>
  </si>
  <si>
    <t>OPTI-Red / White</t>
  </si>
  <si>
    <t xml:space="preserve">FT-Rouge </t>
  </si>
  <si>
    <t>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</si>
</sst>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0.000E+00"/>
    <numFmt numFmtId="165" formatCode="0.0%"/>
    <numFmt numFmtId="166" formatCode="0.000"/>
    <numFmt numFmtId="167" formatCode="0.0"/>
    <numFmt numFmtId="168" formatCode="_(* #,##0.000_);_(* \(#,##0.000\);_(* &quot;-&quot;??_);_(@_)"/>
    <numFmt numFmtId="169" formatCode="_(* #,##0.0_);_(* \(#,##0.0\);_(* &quot;-&quot;??_);_(@_)"/>
    <numFmt numFmtId="170" formatCode="_(* #,##0.0000_);_(* \(#,##0.0000\);_(* &quot;-&quot;??_);_(@_)"/>
    <numFmt numFmtId="171" formatCode="0.000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Hobo BT"/>
    </font>
    <font>
      <b/>
      <sz val="16"/>
      <name val="Eurostile"/>
      <family val="2"/>
    </font>
    <font>
      <b/>
      <sz val="16"/>
      <name val="Hobo BT"/>
    </font>
    <font>
      <b/>
      <sz val="12"/>
      <name val="Arial"/>
      <family val="2"/>
    </font>
    <font>
      <u/>
      <sz val="14"/>
      <name val="Eurostile"/>
      <family val="2"/>
    </font>
    <font>
      <u/>
      <vertAlign val="subscript"/>
      <sz val="14"/>
      <name val="Eurostile"/>
      <family val="2"/>
    </font>
    <font>
      <sz val="14"/>
      <name val="Eurostile"/>
      <family val="2"/>
    </font>
    <font>
      <sz val="10"/>
      <color indexed="49"/>
      <name val="Arial"/>
      <family val="2"/>
    </font>
    <font>
      <b/>
      <sz val="12"/>
      <name val="Times New Roman"/>
      <family val="1"/>
    </font>
    <font>
      <sz val="10"/>
      <color indexed="9"/>
      <name val="Arial"/>
      <family val="2"/>
    </font>
    <font>
      <sz val="12"/>
      <name val="Arial"/>
      <family val="2"/>
    </font>
    <font>
      <vertAlign val="subscript"/>
      <sz val="12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u/>
      <sz val="10"/>
      <color indexed="1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sz val="11"/>
      <color indexed="8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1"/>
      <color indexed="8"/>
      <name val="Arial"/>
      <family val="2"/>
    </font>
    <font>
      <b/>
      <sz val="11"/>
      <color rgb="FF00FF0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222222"/>
      <name val="Arial"/>
      <family val="2"/>
    </font>
    <font>
      <sz val="11"/>
      <color rgb="FF222222"/>
      <name val="Arial"/>
      <family val="2"/>
    </font>
    <font>
      <sz val="11"/>
      <color rgb="FF666666"/>
      <name val="Lato"/>
      <family val="2"/>
    </font>
    <font>
      <sz val="11"/>
      <name val="Times New Roman"/>
      <family val="1"/>
    </font>
    <font>
      <sz val="16"/>
      <name val="Times New Roman"/>
      <family val="1"/>
    </font>
    <font>
      <sz val="10"/>
      <color rgb="FF000000"/>
      <name val="Verdana"/>
      <family val="2"/>
    </font>
    <font>
      <sz val="9"/>
      <color indexed="81"/>
      <name val="Tahoma"/>
      <charset val="1"/>
    </font>
  </fonts>
  <fills count="24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/>
      </patternFill>
    </fill>
    <fill>
      <patternFill patternType="solid">
        <fgColor indexed="50"/>
        <bgColor indexed="64"/>
      </patternFill>
    </fill>
    <fill>
      <patternFill patternType="solid">
        <fgColor rgb="FFF8E6C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42B0A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gray0625"/>
    </fill>
    <fill>
      <patternFill patternType="solid">
        <fgColor rgb="FFEEF097"/>
        <bgColor indexed="64"/>
      </patternFill>
    </fill>
  </fills>
  <borders count="57">
    <border>
      <left/>
      <right/>
      <top/>
      <bottom/>
      <diagonal/>
    </border>
    <border>
      <left style="medium">
        <color rgb="FF999999"/>
      </left>
      <right style="medium">
        <color rgb="FF999999"/>
      </right>
      <top style="medium">
        <color rgb="FFDCDCDC"/>
      </top>
      <bottom style="medium">
        <color rgb="FF999999"/>
      </bottom>
      <diagonal/>
    </border>
    <border>
      <left style="medium">
        <color rgb="FFDCDCDC"/>
      </left>
      <right style="medium">
        <color rgb="FF999999"/>
      </right>
      <top style="medium">
        <color rgb="FFDCDCDC"/>
      </top>
      <bottom style="medium">
        <color rgb="FF999999"/>
      </bottom>
      <diagonal/>
    </border>
    <border>
      <left style="medium">
        <color rgb="FF999999"/>
      </left>
      <right style="medium">
        <color rgb="FFDCDCDC"/>
      </right>
      <top style="medium">
        <color rgb="FFDCDCDC"/>
      </top>
      <bottom style="medium">
        <color rgb="FF999999"/>
      </bottom>
      <diagonal/>
    </border>
    <border>
      <left style="medium">
        <color rgb="FF999999"/>
      </left>
      <right/>
      <top/>
      <bottom/>
      <diagonal/>
    </border>
    <border>
      <left style="medium">
        <color rgb="FFDCDCDC"/>
      </left>
      <right style="medium">
        <color rgb="FFDCDCDC"/>
      </right>
      <top style="medium">
        <color rgb="FFDCDCDC"/>
      </top>
      <bottom style="medium">
        <color rgb="FFDCDCDC"/>
      </bottom>
      <diagonal/>
    </border>
    <border>
      <left/>
      <right style="medium">
        <color rgb="FFDCDCDC"/>
      </right>
      <top/>
      <bottom/>
      <diagonal/>
    </border>
    <border>
      <left style="medium">
        <color rgb="FFDCDCDC"/>
      </left>
      <right style="medium">
        <color rgb="FF999999"/>
      </right>
      <top style="medium">
        <color rgb="FFDCDCDC"/>
      </top>
      <bottom/>
      <diagonal/>
    </border>
    <border>
      <left style="medium">
        <color rgb="FF999999"/>
      </left>
      <right style="medium">
        <color rgb="FF999999"/>
      </right>
      <top style="medium">
        <color rgb="FFDCDCDC"/>
      </top>
      <bottom/>
      <diagonal/>
    </border>
    <border>
      <left style="medium">
        <color rgb="FF999999"/>
      </left>
      <right style="medium">
        <color rgb="FFDCDCDC"/>
      </right>
      <top style="medium">
        <color rgb="FFDCDCDC"/>
      </top>
      <bottom/>
      <diagonal/>
    </border>
    <border>
      <left style="medium">
        <color rgb="FFDCDCDC"/>
      </left>
      <right style="medium">
        <color rgb="FF999999"/>
      </right>
      <top/>
      <bottom style="medium">
        <color rgb="FF999999"/>
      </bottom>
      <diagonal/>
    </border>
    <border>
      <left style="medium">
        <color rgb="FF999999"/>
      </left>
      <right style="medium">
        <color rgb="FF999999"/>
      </right>
      <top/>
      <bottom style="medium">
        <color rgb="FF999999"/>
      </bottom>
      <diagonal/>
    </border>
    <border>
      <left style="medium">
        <color rgb="FF999999"/>
      </left>
      <right style="medium">
        <color rgb="FFDCDCDC"/>
      </right>
      <top/>
      <bottom style="medium">
        <color rgb="FF999999"/>
      </bottom>
      <diagonal/>
    </border>
    <border>
      <left style="medium">
        <color rgb="FFDCDCDC"/>
      </left>
      <right style="medium">
        <color rgb="FFDCDCDC"/>
      </right>
      <top style="medium">
        <color rgb="FF999999"/>
      </top>
      <bottom/>
      <diagonal/>
    </border>
    <border>
      <left style="medium">
        <color rgb="FFDCDCDC"/>
      </left>
      <right style="medium">
        <color rgb="FFDCDCDC"/>
      </right>
      <top style="medium">
        <color rgb="FFDCDCDC"/>
      </top>
      <bottom/>
      <diagonal/>
    </border>
    <border>
      <left style="medium">
        <color rgb="FFDCDCDC"/>
      </left>
      <right/>
      <top/>
      <bottom/>
      <diagonal/>
    </border>
    <border>
      <left style="medium">
        <color rgb="FFDCDCDC"/>
      </left>
      <right style="medium">
        <color rgb="FFDCDCDC"/>
      </right>
      <top/>
      <bottom style="medium">
        <color rgb="FFDCDCDC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39" fillId="0" borderId="0"/>
  </cellStyleXfs>
  <cellXfs count="302">
    <xf numFmtId="0" fontId="0" fillId="0" borderId="0" xfId="0"/>
    <xf numFmtId="0" fontId="5" fillId="0" borderId="0" xfId="5"/>
    <xf numFmtId="0" fontId="6" fillId="0" borderId="0" xfId="5" applyFont="1"/>
    <xf numFmtId="164" fontId="5" fillId="0" borderId="0" xfId="5" applyNumberFormat="1"/>
    <xf numFmtId="0" fontId="7" fillId="0" borderId="0" xfId="5" applyFont="1"/>
    <xf numFmtId="0" fontId="8" fillId="0" borderId="0" xfId="5" applyFont="1"/>
    <xf numFmtId="164" fontId="7" fillId="0" borderId="0" xfId="5" applyNumberFormat="1" applyFont="1"/>
    <xf numFmtId="0" fontId="9" fillId="0" borderId="0" xfId="5" applyFont="1"/>
    <xf numFmtId="0" fontId="10" fillId="0" borderId="0" xfId="5" applyFont="1"/>
    <xf numFmtId="0" fontId="11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64" fontId="13" fillId="0" borderId="0" xfId="5" applyNumberFormat="1" applyFont="1" applyAlignment="1">
      <alignment horizontal="center"/>
    </xf>
    <xf numFmtId="0" fontId="14" fillId="4" borderId="0" xfId="5" applyFont="1" applyFill="1" applyAlignment="1">
      <alignment horizontal="center"/>
    </xf>
    <xf numFmtId="0" fontId="14" fillId="4" borderId="0" xfId="5" applyFont="1" applyFill="1"/>
    <xf numFmtId="0" fontId="15" fillId="0" borderId="0" xfId="5" applyFont="1"/>
    <xf numFmtId="2" fontId="5" fillId="0" borderId="0" xfId="5" applyNumberFormat="1"/>
    <xf numFmtId="165" fontId="5" fillId="0" borderId="0" xfId="5" applyNumberFormat="1"/>
    <xf numFmtId="166" fontId="5" fillId="0" borderId="0" xfId="5" applyNumberFormat="1"/>
    <xf numFmtId="167" fontId="5" fillId="0" borderId="0" xfId="5" applyNumberFormat="1"/>
    <xf numFmtId="1" fontId="5" fillId="0" borderId="0" xfId="5" applyNumberFormat="1"/>
    <xf numFmtId="167" fontId="6" fillId="0" borderId="0" xfId="5" applyNumberFormat="1" applyFont="1"/>
    <xf numFmtId="2" fontId="6" fillId="0" borderId="0" xfId="5" applyNumberFormat="1" applyFont="1"/>
    <xf numFmtId="0" fontId="16" fillId="0" borderId="0" xfId="5" applyFont="1"/>
    <xf numFmtId="0" fontId="17" fillId="0" borderId="0" xfId="5" applyFont="1"/>
    <xf numFmtId="0" fontId="20" fillId="5" borderId="1" xfId="5" applyFont="1" applyFill="1" applyBorder="1" applyAlignment="1">
      <alignment horizontal="left" vertical="center" wrapText="1"/>
    </xf>
    <xf numFmtId="0" fontId="20" fillId="5" borderId="2" xfId="5" applyFont="1" applyFill="1" applyBorder="1" applyAlignment="1">
      <alignment horizontal="left" vertical="center" wrapText="1"/>
    </xf>
    <xf numFmtId="0" fontId="20" fillId="5" borderId="3" xfId="5" applyFont="1" applyFill="1" applyBorder="1" applyAlignment="1">
      <alignment horizontal="left" vertical="center" wrapText="1"/>
    </xf>
    <xf numFmtId="0" fontId="20" fillId="5" borderId="4" xfId="5" applyFont="1" applyFill="1" applyBorder="1" applyAlignment="1">
      <alignment horizontal="left" vertical="center" wrapText="1"/>
    </xf>
    <xf numFmtId="0" fontId="21" fillId="6" borderId="5" xfId="5" applyFont="1" applyFill="1" applyBorder="1" applyAlignment="1">
      <alignment horizontal="left" vertical="top" wrapText="1"/>
    </xf>
    <xf numFmtId="0" fontId="22" fillId="6" borderId="6" xfId="7" applyFill="1" applyBorder="1" applyAlignment="1" applyProtection="1">
      <alignment horizontal="left" vertical="top" wrapText="1"/>
    </xf>
    <xf numFmtId="0" fontId="20" fillId="5" borderId="7" xfId="5" applyFont="1" applyFill="1" applyBorder="1" applyAlignment="1">
      <alignment horizontal="center" vertical="center" wrapText="1"/>
    </xf>
    <xf numFmtId="0" fontId="20" fillId="5" borderId="8" xfId="5" applyFont="1" applyFill="1" applyBorder="1" applyAlignment="1">
      <alignment horizontal="center" vertical="center" wrapText="1"/>
    </xf>
    <xf numFmtId="0" fontId="20" fillId="5" borderId="8" xfId="5" applyFont="1" applyFill="1" applyBorder="1" applyAlignment="1">
      <alignment horizontal="center" vertical="center" wrapText="1"/>
    </xf>
    <xf numFmtId="0" fontId="20" fillId="5" borderId="9" xfId="5" applyFont="1" applyFill="1" applyBorder="1" applyAlignment="1">
      <alignment horizontal="center" vertical="center" wrapText="1"/>
    </xf>
    <xf numFmtId="0" fontId="23" fillId="0" borderId="0" xfId="5" applyFont="1"/>
    <xf numFmtId="0" fontId="20" fillId="5" borderId="10" xfId="5" applyFont="1" applyFill="1" applyBorder="1" applyAlignment="1">
      <alignment horizontal="center" vertical="center" wrapText="1"/>
    </xf>
    <xf numFmtId="0" fontId="20" fillId="5" borderId="11" xfId="5" applyFont="1" applyFill="1" applyBorder="1" applyAlignment="1">
      <alignment horizontal="center" vertical="center" wrapText="1"/>
    </xf>
    <xf numFmtId="0" fontId="20" fillId="5" borderId="11" xfId="5" applyFont="1" applyFill="1" applyBorder="1" applyAlignment="1">
      <alignment horizontal="center" vertical="center" wrapText="1"/>
    </xf>
    <xf numFmtId="0" fontId="20" fillId="5" borderId="12" xfId="5" applyFont="1" applyFill="1" applyBorder="1" applyAlignment="1">
      <alignment horizontal="center" vertical="center" wrapText="1"/>
    </xf>
    <xf numFmtId="0" fontId="24" fillId="0" borderId="0" xfId="5" applyFont="1"/>
    <xf numFmtId="0" fontId="21" fillId="6" borderId="13" xfId="5" applyFont="1" applyFill="1" applyBorder="1" applyAlignment="1">
      <alignment horizontal="left" vertical="top" wrapText="1"/>
    </xf>
    <xf numFmtId="0" fontId="21" fillId="6" borderId="14" xfId="5" applyFont="1" applyFill="1" applyBorder="1" applyAlignment="1">
      <alignment horizontal="left" vertical="center" wrapText="1"/>
    </xf>
    <xf numFmtId="9" fontId="21" fillId="6" borderId="13" xfId="5" applyNumberFormat="1" applyFont="1" applyFill="1" applyBorder="1" applyAlignment="1">
      <alignment horizontal="left" vertical="top" wrapText="1"/>
    </xf>
    <xf numFmtId="0" fontId="5" fillId="0" borderId="15" xfId="5" applyBorder="1" applyAlignment="1">
      <alignment horizontal="left" vertical="top" wrapText="1"/>
    </xf>
    <xf numFmtId="0" fontId="25" fillId="0" borderId="0" xfId="5" applyFont="1" applyAlignment="1">
      <alignment wrapText="1"/>
    </xf>
    <xf numFmtId="0" fontId="21" fillId="6" borderId="16" xfId="5" applyFont="1" applyFill="1" applyBorder="1" applyAlignment="1">
      <alignment horizontal="left" vertical="top" wrapText="1"/>
    </xf>
    <xf numFmtId="0" fontId="21" fillId="6" borderId="16" xfId="5" applyFont="1" applyFill="1" applyBorder="1" applyAlignment="1">
      <alignment horizontal="left" vertical="center" wrapText="1"/>
    </xf>
    <xf numFmtId="9" fontId="21" fillId="6" borderId="16" xfId="5" applyNumberFormat="1" applyFont="1" applyFill="1" applyBorder="1" applyAlignment="1">
      <alignment horizontal="left" vertical="top" wrapText="1"/>
    </xf>
    <xf numFmtId="0" fontId="21" fillId="6" borderId="14" xfId="5" applyFont="1" applyFill="1" applyBorder="1" applyAlignment="1">
      <alignment horizontal="left" vertical="top" wrapText="1"/>
    </xf>
    <xf numFmtId="0" fontId="21" fillId="7" borderId="14" xfId="5" applyFont="1" applyFill="1" applyBorder="1" applyAlignment="1">
      <alignment horizontal="left" vertical="top" wrapText="1"/>
    </xf>
    <xf numFmtId="9" fontId="21" fillId="7" borderId="14" xfId="5" applyNumberFormat="1" applyFont="1" applyFill="1" applyBorder="1" applyAlignment="1">
      <alignment horizontal="left" vertical="top" wrapText="1"/>
    </xf>
    <xf numFmtId="0" fontId="21" fillId="7" borderId="16" xfId="5" applyFont="1" applyFill="1" applyBorder="1" applyAlignment="1">
      <alignment horizontal="left" vertical="top" wrapText="1"/>
    </xf>
    <xf numFmtId="9" fontId="21" fillId="7" borderId="16" xfId="5" applyNumberFormat="1" applyFont="1" applyFill="1" applyBorder="1" applyAlignment="1">
      <alignment horizontal="left" vertical="top" wrapText="1"/>
    </xf>
    <xf numFmtId="0" fontId="21" fillId="6" borderId="14" xfId="5" applyFont="1" applyFill="1" applyBorder="1" applyAlignment="1">
      <alignment horizontal="left" vertical="top" wrapText="1"/>
    </xf>
    <xf numFmtId="9" fontId="21" fillId="6" borderId="14" xfId="5" applyNumberFormat="1" applyFont="1" applyFill="1" applyBorder="1" applyAlignment="1">
      <alignment horizontal="left" vertical="top" wrapText="1"/>
    </xf>
    <xf numFmtId="0" fontId="25" fillId="0" borderId="0" xfId="5" applyFont="1" applyAlignment="1">
      <alignment horizontal="left" vertical="top" wrapText="1"/>
    </xf>
    <xf numFmtId="0" fontId="21" fillId="6" borderId="16" xfId="5" applyFont="1" applyFill="1" applyBorder="1" applyAlignment="1">
      <alignment horizontal="left" vertical="top" wrapText="1"/>
    </xf>
    <xf numFmtId="0" fontId="21" fillId="8" borderId="14" xfId="5" applyFont="1" applyFill="1" applyBorder="1" applyAlignment="1">
      <alignment horizontal="left" vertical="top" wrapText="1"/>
    </xf>
    <xf numFmtId="9" fontId="21" fillId="9" borderId="14" xfId="5" applyNumberFormat="1" applyFont="1" applyFill="1" applyBorder="1" applyAlignment="1">
      <alignment horizontal="left" vertical="top" wrapText="1"/>
    </xf>
    <xf numFmtId="0" fontId="21" fillId="8" borderId="16" xfId="5" applyFont="1" applyFill="1" applyBorder="1" applyAlignment="1">
      <alignment horizontal="left" vertical="top" wrapText="1"/>
    </xf>
    <xf numFmtId="9" fontId="21" fillId="9" borderId="16" xfId="5" applyNumberFormat="1" applyFont="1" applyFill="1" applyBorder="1" applyAlignment="1">
      <alignment horizontal="left" vertical="top" wrapText="1"/>
    </xf>
    <xf numFmtId="0" fontId="21" fillId="6" borderId="14" xfId="5" applyFont="1" applyFill="1" applyBorder="1" applyAlignment="1">
      <alignment horizontal="left" vertical="center" wrapText="1"/>
    </xf>
    <xf numFmtId="0" fontId="21" fillId="6" borderId="16" xfId="5" applyFont="1" applyFill="1" applyBorder="1" applyAlignment="1">
      <alignment horizontal="left" vertical="center" wrapText="1"/>
    </xf>
    <xf numFmtId="10" fontId="21" fillId="6" borderId="14" xfId="5" applyNumberFormat="1" applyFont="1" applyFill="1" applyBorder="1" applyAlignment="1">
      <alignment horizontal="left" vertical="top" wrapText="1"/>
    </xf>
    <xf numFmtId="0" fontId="25" fillId="0" borderId="0" xfId="5" applyFont="1" applyAlignment="1">
      <alignment vertical="top" wrapText="1"/>
    </xf>
    <xf numFmtId="10" fontId="21" fillId="6" borderId="16" xfId="5" applyNumberFormat="1" applyFont="1" applyFill="1" applyBorder="1" applyAlignment="1">
      <alignment horizontal="left" vertical="top" wrapText="1"/>
    </xf>
    <xf numFmtId="0" fontId="27" fillId="0" borderId="0" xfId="5" applyFont="1"/>
    <xf numFmtId="0" fontId="21" fillId="10" borderId="14" xfId="5" applyFont="1" applyFill="1" applyBorder="1" applyAlignment="1">
      <alignment horizontal="left" vertical="top" wrapText="1"/>
    </xf>
    <xf numFmtId="10" fontId="21" fillId="10" borderId="14" xfId="5" applyNumberFormat="1" applyFont="1" applyFill="1" applyBorder="1" applyAlignment="1">
      <alignment horizontal="left" vertical="top" wrapText="1"/>
    </xf>
    <xf numFmtId="0" fontId="21" fillId="10" borderId="16" xfId="5" applyFont="1" applyFill="1" applyBorder="1" applyAlignment="1">
      <alignment horizontal="left" vertical="top" wrapText="1"/>
    </xf>
    <xf numFmtId="10" fontId="21" fillId="10" borderId="16" xfId="5" applyNumberFormat="1" applyFont="1" applyFill="1" applyBorder="1" applyAlignment="1">
      <alignment horizontal="left" vertical="top" wrapText="1"/>
    </xf>
    <xf numFmtId="0" fontId="28" fillId="0" borderId="0" xfId="5" applyFont="1"/>
    <xf numFmtId="0" fontId="25" fillId="0" borderId="0" xfId="5" applyFont="1"/>
    <xf numFmtId="0" fontId="30" fillId="0" borderId="0" xfId="5" applyFo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11" borderId="0" xfId="0" applyFill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25" xfId="0" applyBorder="1"/>
    <xf numFmtId="0" fontId="0" fillId="0" borderId="26" xfId="0" applyBorder="1"/>
    <xf numFmtId="0" fontId="3" fillId="12" borderId="27" xfId="0" applyFont="1" applyFill="1" applyBorder="1" applyAlignment="1">
      <alignment horizontal="center" vertical="center" wrapText="1"/>
    </xf>
    <xf numFmtId="0" fontId="3" fillId="12" borderId="28" xfId="0" applyFont="1" applyFill="1" applyBorder="1" applyAlignment="1">
      <alignment horizontal="center" vertical="center" wrapText="1"/>
    </xf>
    <xf numFmtId="0" fontId="3" fillId="12" borderId="29" xfId="0" applyFont="1" applyFill="1" applyBorder="1" applyAlignment="1">
      <alignment horizontal="center" vertical="center" wrapText="1"/>
    </xf>
    <xf numFmtId="0" fontId="0" fillId="0" borderId="30" xfId="0" applyBorder="1"/>
    <xf numFmtId="0" fontId="0" fillId="13" borderId="31" xfId="0" applyFill="1" applyBorder="1" applyAlignment="1">
      <alignment horizontal="center" vertical="center" wrapText="1"/>
    </xf>
    <xf numFmtId="0" fontId="0" fillId="13" borderId="32" xfId="0" applyFill="1" applyBorder="1" applyAlignment="1">
      <alignment horizontal="center" vertical="center" wrapText="1"/>
    </xf>
    <xf numFmtId="0" fontId="3" fillId="14" borderId="32" xfId="0" applyFont="1" applyFill="1" applyBorder="1" applyAlignment="1">
      <alignment horizontal="center" vertical="center" wrapText="1"/>
    </xf>
    <xf numFmtId="0" fontId="3" fillId="14" borderId="33" xfId="0" applyFont="1" applyFill="1" applyBorder="1" applyAlignment="1">
      <alignment horizontal="center" vertical="center" wrapText="1"/>
    </xf>
    <xf numFmtId="0" fontId="3" fillId="14" borderId="32" xfId="0" applyFont="1" applyFill="1" applyBorder="1" applyAlignment="1">
      <alignment horizontal="center" vertical="center"/>
    </xf>
    <xf numFmtId="0" fontId="3" fillId="14" borderId="33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2" xfId="0" applyBorder="1" applyAlignment="1">
      <alignment horizontal="center" vertical="center" wrapText="1"/>
    </xf>
    <xf numFmtId="0" fontId="0" fillId="14" borderId="32" xfId="0" applyFill="1" applyBorder="1" applyAlignment="1">
      <alignment horizontal="center" vertical="center"/>
    </xf>
    <xf numFmtId="0" fontId="0" fillId="14" borderId="33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/>
    <xf numFmtId="0" fontId="0" fillId="0" borderId="38" xfId="0" applyBorder="1"/>
    <xf numFmtId="0" fontId="0" fillId="13" borderId="31" xfId="0" applyFill="1" applyBorder="1" applyAlignment="1">
      <alignment horizontal="center" vertical="center" wrapText="1"/>
    </xf>
    <xf numFmtId="0" fontId="0" fillId="13" borderId="32" xfId="0" applyFill="1" applyBorder="1" applyAlignment="1">
      <alignment horizontal="center" vertical="center" wrapText="1"/>
    </xf>
    <xf numFmtId="0" fontId="0" fillId="13" borderId="33" xfId="0" applyFill="1" applyBorder="1" applyAlignment="1">
      <alignment horizontal="center" vertical="center" wrapText="1"/>
    </xf>
    <xf numFmtId="0" fontId="0" fillId="0" borderId="31" xfId="0" applyBorder="1"/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/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12" borderId="39" xfId="0" applyFont="1" applyFill="1" applyBorder="1" applyAlignment="1">
      <alignment horizontal="center" vertical="center" wrapText="1"/>
    </xf>
    <xf numFmtId="0" fontId="3" fillId="12" borderId="40" xfId="0" applyFont="1" applyFill="1" applyBorder="1" applyAlignment="1">
      <alignment horizontal="center" vertical="center" wrapText="1"/>
    </xf>
    <xf numFmtId="0" fontId="3" fillId="12" borderId="41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3" xfId="0" quotePrefix="1" applyBorder="1" applyAlignment="1">
      <alignment horizontal="center" vertical="center" wrapText="1"/>
    </xf>
    <xf numFmtId="0" fontId="0" fillId="0" borderId="42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44" xfId="0" applyBorder="1" applyAlignment="1">
      <alignment horizontal="left" vertical="center" wrapText="1"/>
    </xf>
    <xf numFmtId="167" fontId="31" fillId="15" borderId="31" xfId="0" applyNumberFormat="1" applyFont="1" applyFill="1" applyBorder="1" applyAlignment="1">
      <alignment horizontal="left" vertical="center"/>
    </xf>
    <xf numFmtId="0" fontId="0" fillId="16" borderId="32" xfId="0" applyFill="1" applyBorder="1" applyAlignment="1">
      <alignment horizontal="center" vertical="center"/>
    </xf>
    <xf numFmtId="0" fontId="0" fillId="16" borderId="33" xfId="0" applyFill="1" applyBorder="1" applyAlignment="1">
      <alignment horizontal="center" vertical="center"/>
    </xf>
    <xf numFmtId="167" fontId="31" fillId="15" borderId="45" xfId="0" applyNumberFormat="1" applyFont="1" applyFill="1" applyBorder="1" applyAlignment="1">
      <alignment horizontal="left" vertical="center"/>
    </xf>
    <xf numFmtId="0" fontId="0" fillId="16" borderId="46" xfId="0" applyFill="1" applyBorder="1" applyAlignment="1">
      <alignment horizontal="center" vertical="center"/>
    </xf>
    <xf numFmtId="0" fontId="0" fillId="16" borderId="47" xfId="0" applyFill="1" applyBorder="1" applyAlignment="1">
      <alignment horizontal="center" vertical="center"/>
    </xf>
    <xf numFmtId="167" fontId="33" fillId="15" borderId="27" xfId="0" applyNumberFormat="1" applyFont="1" applyFill="1" applyBorder="1" applyAlignment="1">
      <alignment horizontal="left" vertical="center"/>
    </xf>
    <xf numFmtId="0" fontId="0" fillId="17" borderId="28" xfId="0" applyFill="1" applyBorder="1" applyAlignment="1">
      <alignment horizontal="center" vertical="center"/>
    </xf>
    <xf numFmtId="0" fontId="0" fillId="17" borderId="29" xfId="0" applyFill="1" applyBorder="1" applyAlignment="1">
      <alignment horizontal="center" vertical="center"/>
    </xf>
    <xf numFmtId="167" fontId="34" fillId="15" borderId="31" xfId="0" applyNumberFormat="1" applyFont="1" applyFill="1" applyBorder="1" applyAlignment="1">
      <alignment horizontal="left" vertical="center"/>
    </xf>
    <xf numFmtId="0" fontId="0" fillId="17" borderId="32" xfId="0" applyFill="1" applyBorder="1" applyAlignment="1">
      <alignment horizontal="center" vertical="center"/>
    </xf>
    <xf numFmtId="0" fontId="0" fillId="17" borderId="33" xfId="0" applyFill="1" applyBorder="1" applyAlignment="1">
      <alignment horizontal="center" vertical="center"/>
    </xf>
    <xf numFmtId="167" fontId="34" fillId="15" borderId="31" xfId="0" applyNumberFormat="1" applyFont="1" applyFill="1" applyBorder="1" applyAlignment="1">
      <alignment horizontal="left" vertical="center" wrapText="1"/>
    </xf>
    <xf numFmtId="0" fontId="0" fillId="7" borderId="32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18" borderId="32" xfId="0" applyFill="1" applyBorder="1" applyAlignment="1">
      <alignment horizontal="center" vertical="center"/>
    </xf>
    <xf numFmtId="0" fontId="0" fillId="18" borderId="33" xfId="0" applyFill="1" applyBorder="1" applyAlignment="1">
      <alignment horizontal="center" vertical="center"/>
    </xf>
    <xf numFmtId="167" fontId="33" fillId="15" borderId="34" xfId="0" applyNumberFormat="1" applyFont="1" applyFill="1" applyBorder="1" applyAlignment="1">
      <alignment horizontal="left" vertical="center"/>
    </xf>
    <xf numFmtId="0" fontId="0" fillId="18" borderId="35" xfId="0" applyFill="1" applyBorder="1" applyAlignment="1">
      <alignment horizontal="center" vertical="center"/>
    </xf>
    <xf numFmtId="0" fontId="0" fillId="18" borderId="36" xfId="0" applyFill="1" applyBorder="1" applyAlignment="1">
      <alignment horizontal="center" vertical="center"/>
    </xf>
    <xf numFmtId="167" fontId="31" fillId="15" borderId="39" xfId="0" applyNumberFormat="1" applyFont="1" applyFill="1" applyBorder="1" applyAlignment="1">
      <alignment horizontal="left" vertical="center"/>
    </xf>
    <xf numFmtId="0" fontId="0" fillId="16" borderId="40" xfId="0" applyFill="1" applyBorder="1" applyAlignment="1">
      <alignment horizontal="center" vertical="center"/>
    </xf>
    <xf numFmtId="0" fontId="0" fillId="16" borderId="41" xfId="0" applyFill="1" applyBorder="1" applyAlignment="1">
      <alignment horizontal="center" vertical="center"/>
    </xf>
    <xf numFmtId="167" fontId="31" fillId="15" borderId="34" xfId="0" applyNumberFormat="1" applyFont="1" applyFill="1" applyBorder="1" applyAlignment="1">
      <alignment horizontal="left" vertical="center"/>
    </xf>
    <xf numFmtId="0" fontId="0" fillId="16" borderId="35" xfId="0" applyFill="1" applyBorder="1" applyAlignment="1">
      <alignment horizontal="center" vertical="center"/>
    </xf>
    <xf numFmtId="0" fontId="0" fillId="16" borderId="36" xfId="0" applyFill="1" applyBorder="1" applyAlignment="1">
      <alignment horizontal="center" vertical="center"/>
    </xf>
    <xf numFmtId="0" fontId="0" fillId="15" borderId="0" xfId="0" applyFill="1"/>
    <xf numFmtId="0" fontId="0" fillId="15" borderId="0" xfId="0" applyFill="1" applyAlignment="1">
      <alignment horizontal="center"/>
    </xf>
    <xf numFmtId="0" fontId="0" fillId="15" borderId="48" xfId="0" applyFill="1" applyBorder="1"/>
    <xf numFmtId="167" fontId="0" fillId="15" borderId="32" xfId="0" applyNumberFormat="1" applyFill="1" applyBorder="1"/>
    <xf numFmtId="0" fontId="0" fillId="7" borderId="48" xfId="0" applyFill="1" applyBorder="1"/>
    <xf numFmtId="0" fontId="3" fillId="15" borderId="48" xfId="0" applyFont="1" applyFill="1" applyBorder="1"/>
    <xf numFmtId="0" fontId="0" fillId="15" borderId="48" xfId="0" applyFill="1" applyBorder="1" applyAlignment="1">
      <alignment horizontal="center"/>
    </xf>
    <xf numFmtId="0" fontId="0" fillId="7" borderId="40" xfId="0" applyFill="1" applyBorder="1"/>
    <xf numFmtId="167" fontId="0" fillId="7" borderId="32" xfId="0" applyNumberFormat="1" applyFill="1" applyBorder="1"/>
    <xf numFmtId="0" fontId="0" fillId="15" borderId="43" xfId="0" applyFill="1" applyBorder="1"/>
    <xf numFmtId="0" fontId="0" fillId="15" borderId="43" xfId="0" applyFill="1" applyBorder="1" applyAlignment="1">
      <alignment horizontal="center"/>
    </xf>
    <xf numFmtId="166" fontId="0" fillId="7" borderId="32" xfId="0" applyNumberFormat="1" applyFill="1" applyBorder="1"/>
    <xf numFmtId="167" fontId="0" fillId="15" borderId="0" xfId="0" applyNumberFormat="1" applyFill="1"/>
    <xf numFmtId="10" fontId="0" fillId="15" borderId="0" xfId="2" applyNumberFormat="1" applyFont="1" applyFill="1"/>
    <xf numFmtId="0" fontId="0" fillId="7" borderId="32" xfId="0" applyFill="1" applyBorder="1" applyAlignment="1">
      <alignment horizontal="center"/>
    </xf>
    <xf numFmtId="0" fontId="31" fillId="2" borderId="0" xfId="3" applyFont="1" applyAlignment="1">
      <alignment horizontal="center" vertical="center"/>
    </xf>
    <xf numFmtId="2" fontId="0" fillId="7" borderId="32" xfId="2" applyNumberFormat="1" applyFont="1" applyFill="1" applyBorder="1"/>
    <xf numFmtId="2" fontId="0" fillId="15" borderId="0" xfId="0" applyNumberFormat="1" applyFill="1"/>
    <xf numFmtId="43" fontId="0" fillId="15" borderId="0" xfId="0" applyNumberFormat="1" applyFill="1"/>
    <xf numFmtId="168" fontId="31" fillId="15" borderId="0" xfId="1" applyNumberFormat="1" applyFont="1" applyFill="1"/>
    <xf numFmtId="0" fontId="0" fillId="7" borderId="32" xfId="0" applyFill="1" applyBorder="1"/>
    <xf numFmtId="0" fontId="31" fillId="15" borderId="0" xfId="0" applyFont="1" applyFill="1"/>
    <xf numFmtId="0" fontId="31" fillId="15" borderId="0" xfId="3" applyFont="1" applyFill="1"/>
    <xf numFmtId="0" fontId="31" fillId="15" borderId="0" xfId="0" applyFont="1" applyFill="1" applyAlignment="1">
      <alignment horizontal="center"/>
    </xf>
    <xf numFmtId="169" fontId="31" fillId="15" borderId="0" xfId="1" applyNumberFormat="1" applyFont="1" applyFill="1"/>
    <xf numFmtId="0" fontId="34" fillId="15" borderId="0" xfId="3" applyFont="1" applyFill="1" applyBorder="1" applyAlignment="1">
      <alignment horizontal="center" vertical="center"/>
    </xf>
    <xf numFmtId="6" fontId="34" fillId="15" borderId="0" xfId="3" applyNumberFormat="1" applyFont="1" applyFill="1" applyBorder="1" applyAlignment="1">
      <alignment horizontal="center" vertical="center"/>
    </xf>
    <xf numFmtId="0" fontId="34" fillId="15" borderId="0" xfId="0" applyFont="1" applyFill="1"/>
    <xf numFmtId="0" fontId="34" fillId="12" borderId="32" xfId="3" applyFont="1" applyFill="1" applyBorder="1" applyAlignment="1">
      <alignment horizontal="center" vertical="center"/>
    </xf>
    <xf numFmtId="0" fontId="34" fillId="14" borderId="32" xfId="3" applyFont="1" applyFill="1" applyBorder="1" applyAlignment="1">
      <alignment horizontal="center" vertical="center" wrapText="1"/>
    </xf>
    <xf numFmtId="0" fontId="34" fillId="7" borderId="32" xfId="3" applyFont="1" applyFill="1" applyBorder="1" applyAlignment="1">
      <alignment horizontal="center" vertical="center"/>
    </xf>
    <xf numFmtId="0" fontId="34" fillId="15" borderId="0" xfId="3" applyFont="1" applyFill="1" applyBorder="1" applyAlignment="1">
      <alignment horizontal="left" vertical="center"/>
    </xf>
    <xf numFmtId="0" fontId="34" fillId="15" borderId="32" xfId="3" applyFont="1" applyFill="1" applyBorder="1" applyAlignment="1">
      <alignment horizontal="center" vertical="center"/>
    </xf>
    <xf numFmtId="0" fontId="6" fillId="15" borderId="0" xfId="0" applyFont="1" applyFill="1" applyAlignment="1">
      <alignment vertical="top" wrapText="1"/>
    </xf>
    <xf numFmtId="0" fontId="3" fillId="15" borderId="0" xfId="0" applyFont="1" applyFill="1"/>
    <xf numFmtId="0" fontId="0" fillId="15" borderId="49" xfId="0" applyFill="1" applyBorder="1"/>
    <xf numFmtId="0" fontId="0" fillId="15" borderId="50" xfId="0" applyFill="1" applyBorder="1"/>
    <xf numFmtId="0" fontId="0" fillId="7" borderId="49" xfId="0" applyFill="1" applyBorder="1"/>
    <xf numFmtId="0" fontId="0" fillId="7" borderId="50" xfId="0" applyFill="1" applyBorder="1"/>
    <xf numFmtId="169" fontId="0" fillId="0" borderId="0" xfId="1" applyNumberFormat="1" applyFont="1"/>
    <xf numFmtId="0" fontId="35" fillId="0" borderId="0" xfId="0" applyFont="1" applyAlignment="1">
      <alignment vertical="top" wrapText="1"/>
    </xf>
    <xf numFmtId="0" fontId="0" fillId="15" borderId="51" xfId="0" applyFill="1" applyBorder="1" applyAlignment="1">
      <alignment horizontal="right"/>
    </xf>
    <xf numFmtId="0" fontId="0" fillId="15" borderId="52" xfId="0" applyFill="1" applyBorder="1" applyAlignment="1">
      <alignment horizontal="left"/>
    </xf>
    <xf numFmtId="2" fontId="0" fillId="14" borderId="48" xfId="0" applyNumberFormat="1" applyFill="1" applyBorder="1" applyAlignment="1">
      <alignment horizontal="right"/>
    </xf>
    <xf numFmtId="0" fontId="0" fillId="15" borderId="53" xfId="0" applyFill="1" applyBorder="1" applyAlignment="1">
      <alignment horizontal="right"/>
    </xf>
    <xf numFmtId="0" fontId="0" fillId="15" borderId="54" xfId="0" applyFill="1" applyBorder="1" applyAlignment="1">
      <alignment horizontal="left"/>
    </xf>
    <xf numFmtId="2" fontId="0" fillId="14" borderId="43" xfId="0" applyNumberFormat="1" applyFill="1" applyBorder="1" applyAlignment="1">
      <alignment horizontal="right"/>
    </xf>
    <xf numFmtId="0" fontId="0" fillId="7" borderId="53" xfId="0" applyFill="1" applyBorder="1" applyAlignment="1">
      <alignment horizontal="right"/>
    </xf>
    <xf numFmtId="0" fontId="0" fillId="7" borderId="54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15" borderId="0" xfId="0" applyFill="1" applyAlignment="1">
      <alignment horizontal="left"/>
    </xf>
    <xf numFmtId="0" fontId="36" fillId="15" borderId="0" xfId="0" applyFont="1" applyFill="1"/>
    <xf numFmtId="0" fontId="37" fillId="15" borderId="0" xfId="0" applyFont="1" applyFill="1"/>
    <xf numFmtId="0" fontId="0" fillId="0" borderId="0" xfId="0" applyAlignment="1">
      <alignment vertical="top" wrapText="1"/>
    </xf>
    <xf numFmtId="43" fontId="0" fillId="15" borderId="53" xfId="1" applyFont="1" applyFill="1" applyBorder="1" applyAlignment="1">
      <alignment horizontal="right"/>
    </xf>
    <xf numFmtId="168" fontId="0" fillId="15" borderId="53" xfId="1" applyNumberFormat="1" applyFont="1" applyFill="1" applyBorder="1" applyAlignment="1">
      <alignment horizontal="right"/>
    </xf>
    <xf numFmtId="0" fontId="0" fillId="0" borderId="0" xfId="0" applyAlignment="1">
      <alignment horizontal="left" vertical="top" wrapText="1"/>
    </xf>
    <xf numFmtId="170" fontId="0" fillId="0" borderId="0" xfId="1" applyNumberFormat="1" applyFont="1"/>
    <xf numFmtId="0" fontId="4" fillId="15" borderId="0" xfId="3" applyFill="1" applyAlignment="1">
      <alignment horizontal="center" vertical="center"/>
    </xf>
    <xf numFmtId="0" fontId="4" fillId="15" borderId="0" xfId="3" applyFill="1"/>
    <xf numFmtId="169" fontId="0" fillId="15" borderId="0" xfId="1" applyNumberFormat="1" applyFont="1" applyFill="1"/>
    <xf numFmtId="167" fontId="0" fillId="7" borderId="40" xfId="0" applyNumberFormat="1" applyFill="1" applyBorder="1"/>
    <xf numFmtId="10" fontId="0" fillId="15" borderId="0" xfId="2" applyNumberFormat="1" applyFont="1" applyFill="1" applyAlignment="1">
      <alignment horizontal="center" vertical="center"/>
    </xf>
    <xf numFmtId="0" fontId="0" fillId="15" borderId="53" xfId="0" applyFill="1" applyBorder="1" applyAlignment="1">
      <alignment horizontal="center" wrapText="1"/>
    </xf>
    <xf numFmtId="0" fontId="0" fillId="15" borderId="54" xfId="0" applyFill="1" applyBorder="1" applyAlignment="1">
      <alignment horizontal="center" wrapText="1"/>
    </xf>
    <xf numFmtId="0" fontId="0" fillId="15" borderId="53" xfId="0" applyFill="1" applyBorder="1" applyAlignment="1">
      <alignment horizontal="center"/>
    </xf>
    <xf numFmtId="0" fontId="0" fillId="15" borderId="54" xfId="0" applyFill="1" applyBorder="1" applyAlignment="1">
      <alignment horizontal="center"/>
    </xf>
    <xf numFmtId="0" fontId="38" fillId="0" borderId="0" xfId="0" applyFont="1" applyAlignment="1">
      <alignment horizontal="left" vertical="center" wrapText="1" indent="1"/>
    </xf>
    <xf numFmtId="0" fontId="4" fillId="3" borderId="0" xfId="4"/>
    <xf numFmtId="0" fontId="0" fillId="19" borderId="0" xfId="0" applyFill="1"/>
    <xf numFmtId="0" fontId="0" fillId="20" borderId="0" xfId="0" applyFill="1"/>
    <xf numFmtId="14" fontId="0" fillId="11" borderId="32" xfId="0" applyNumberFormat="1" applyFill="1" applyBorder="1"/>
    <xf numFmtId="0" fontId="0" fillId="11" borderId="32" xfId="0" applyFill="1" applyBorder="1"/>
    <xf numFmtId="169" fontId="0" fillId="11" borderId="32" xfId="0" applyNumberFormat="1" applyFill="1" applyBorder="1"/>
    <xf numFmtId="0" fontId="0" fillId="19" borderId="0" xfId="0" applyFill="1" applyAlignment="1">
      <alignment horizontal="center"/>
    </xf>
    <xf numFmtId="0" fontId="0" fillId="15" borderId="0" xfId="0" applyFill="1" applyAlignment="1">
      <alignment horizontal="center" vertical="center" wrapText="1"/>
    </xf>
    <xf numFmtId="0" fontId="4" fillId="2" borderId="17" xfId="3" applyBorder="1" applyAlignment="1">
      <alignment horizontal="center" vertical="center" wrapText="1"/>
    </xf>
    <xf numFmtId="0" fontId="4" fillId="2" borderId="18" xfId="3" applyBorder="1" applyAlignment="1">
      <alignment horizontal="center" vertical="center" wrapText="1"/>
    </xf>
    <xf numFmtId="0" fontId="4" fillId="2" borderId="18" xfId="3" applyBorder="1" applyAlignment="1">
      <alignment horizontal="center" vertical="center" wrapText="1"/>
    </xf>
    <xf numFmtId="0" fontId="4" fillId="2" borderId="19" xfId="3" applyBorder="1" applyAlignment="1">
      <alignment horizontal="center" vertical="center" wrapText="1"/>
    </xf>
    <xf numFmtId="0" fontId="0" fillId="19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19" borderId="0" xfId="0" applyFill="1" applyAlignment="1">
      <alignment vertical="top" wrapText="1"/>
    </xf>
    <xf numFmtId="0" fontId="4" fillId="2" borderId="17" xfId="3" applyBorder="1" applyAlignment="1">
      <alignment horizontal="center" vertical="center"/>
    </xf>
    <xf numFmtId="0" fontId="4" fillId="2" borderId="18" xfId="3" applyBorder="1" applyAlignment="1">
      <alignment horizontal="center" vertical="center"/>
    </xf>
    <xf numFmtId="0" fontId="4" fillId="2" borderId="19" xfId="3" applyBorder="1" applyAlignment="1">
      <alignment horizontal="center" vertic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0" fillId="11" borderId="21" xfId="0" applyFill="1" applyBorder="1"/>
    <xf numFmtId="0" fontId="0" fillId="0" borderId="18" xfId="0" applyBorder="1" applyAlignment="1">
      <alignment vertical="top" wrapText="1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21" borderId="24" xfId="0" applyFill="1" applyBorder="1"/>
    <xf numFmtId="0" fontId="0" fillId="21" borderId="24" xfId="0" quotePrefix="1" applyFill="1" applyBorder="1"/>
    <xf numFmtId="0" fontId="0" fillId="0" borderId="0" xfId="0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169" fontId="0" fillId="0" borderId="23" xfId="1" applyNumberFormat="1" applyFont="1" applyBorder="1"/>
    <xf numFmtId="170" fontId="0" fillId="0" borderId="23" xfId="1" applyNumberFormat="1" applyFont="1" applyBorder="1"/>
    <xf numFmtId="0" fontId="0" fillId="15" borderId="0" xfId="0" applyFill="1" applyAlignment="1">
      <alignment horizontal="center" vertical="top" wrapText="1"/>
    </xf>
    <xf numFmtId="170" fontId="0" fillId="15" borderId="0" xfId="1" applyNumberFormat="1" applyFont="1" applyFill="1"/>
    <xf numFmtId="0" fontId="0" fillId="15" borderId="0" xfId="0" applyFill="1" applyAlignment="1">
      <alignment vertical="top" wrapText="1"/>
    </xf>
    <xf numFmtId="0" fontId="0" fillId="15" borderId="0" xfId="0" applyFill="1" applyAlignment="1">
      <alignment horizontal="left" vertical="top" wrapText="1"/>
    </xf>
    <xf numFmtId="0" fontId="19" fillId="20" borderId="20" xfId="6" applyFill="1" applyBorder="1"/>
    <xf numFmtId="14" fontId="0" fillId="0" borderId="0" xfId="0" applyNumberFormat="1" applyAlignment="1">
      <alignment horizontal="left" vertical="top" wrapText="1"/>
    </xf>
    <xf numFmtId="167" fontId="0" fillId="0" borderId="0" xfId="0" applyNumberFormat="1" applyAlignment="1">
      <alignment horizontal="left" vertical="top" wrapText="1"/>
    </xf>
    <xf numFmtId="166" fontId="0" fillId="0" borderId="0" xfId="0" applyNumberFormat="1" applyAlignment="1">
      <alignment horizontal="left" vertical="top" wrapText="1"/>
    </xf>
    <xf numFmtId="0" fontId="4" fillId="2" borderId="0" xfId="3" applyAlignment="1">
      <alignment horizontal="center" vertical="center"/>
    </xf>
    <xf numFmtId="169" fontId="4" fillId="2" borderId="0" xfId="1" applyNumberFormat="1" applyFont="1" applyFill="1" applyAlignment="1">
      <alignment horizontal="center" vertical="center"/>
    </xf>
    <xf numFmtId="170" fontId="4" fillId="2" borderId="0" xfId="1" applyNumberFormat="1" applyFont="1" applyFill="1" applyAlignment="1">
      <alignment horizontal="center" vertical="center"/>
    </xf>
    <xf numFmtId="0" fontId="0" fillId="20" borderId="20" xfId="0" applyFill="1" applyBorder="1"/>
    <xf numFmtId="169" fontId="0" fillId="0" borderId="0" xfId="1" applyNumberFormat="1" applyFont="1" applyAlignment="1">
      <alignment horizontal="center"/>
    </xf>
    <xf numFmtId="0" fontId="0" fillId="0" borderId="23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3" fillId="0" borderId="0" xfId="0" applyFont="1" applyAlignment="1">
      <alignment horizontal="center"/>
    </xf>
    <xf numFmtId="0" fontId="3" fillId="0" borderId="0" xfId="0" applyFont="1"/>
    <xf numFmtId="169" fontId="0" fillId="0" borderId="53" xfId="1" applyNumberFormat="1" applyFont="1" applyBorder="1" applyAlignment="1">
      <alignment horizontal="center"/>
    </xf>
    <xf numFmtId="0" fontId="0" fillId="0" borderId="24" xfId="0" applyBorder="1" applyAlignment="1">
      <alignment vertical="top" wrapText="1"/>
    </xf>
    <xf numFmtId="0" fontId="40" fillId="0" borderId="0" xfId="8" applyFont="1" applyAlignment="1">
      <alignment horizontal="center"/>
    </xf>
    <xf numFmtId="0" fontId="40" fillId="0" borderId="0" xfId="8" applyFont="1" applyAlignment="1">
      <alignment horizontal="center"/>
    </xf>
    <xf numFmtId="169" fontId="40" fillId="0" borderId="0" xfId="1" applyNumberFormat="1" applyFont="1" applyAlignment="1">
      <alignment horizontal="center"/>
    </xf>
    <xf numFmtId="170" fontId="40" fillId="0" borderId="0" xfId="1" applyNumberFormat="1" applyFont="1" applyAlignment="1">
      <alignment horizontal="center"/>
    </xf>
    <xf numFmtId="49" fontId="39" fillId="0" borderId="0" xfId="8" applyNumberFormat="1" applyAlignment="1">
      <alignment horizontal="right"/>
    </xf>
    <xf numFmtId="2" fontId="39" fillId="22" borderId="46" xfId="8" applyNumberFormat="1" applyFill="1" applyBorder="1" applyAlignment="1" applyProtection="1">
      <alignment horizontal="center"/>
      <protection locked="0"/>
    </xf>
    <xf numFmtId="0" fontId="39" fillId="0" borderId="0" xfId="8"/>
    <xf numFmtId="49" fontId="39" fillId="0" borderId="0" xfId="8" applyNumberFormat="1" applyAlignment="1">
      <alignment horizontal="center"/>
    </xf>
    <xf numFmtId="169" fontId="39" fillId="22" borderId="46" xfId="1" applyNumberFormat="1" applyFont="1" applyFill="1" applyBorder="1" applyAlignment="1" applyProtection="1">
      <alignment horizontal="center"/>
      <protection locked="0"/>
    </xf>
    <xf numFmtId="170" fontId="39" fillId="0" borderId="0" xfId="1" applyNumberFormat="1" applyFont="1"/>
    <xf numFmtId="168" fontId="41" fillId="23" borderId="55" xfId="1" applyNumberFormat="1" applyFont="1" applyFill="1" applyBorder="1" applyAlignment="1" applyProtection="1">
      <alignment horizontal="center" vertical="center" wrapText="1"/>
      <protection locked="0"/>
    </xf>
    <xf numFmtId="2" fontId="39" fillId="0" borderId="0" xfId="8" applyNumberFormat="1" applyAlignment="1">
      <alignment horizontal="center"/>
    </xf>
    <xf numFmtId="169" fontId="41" fillId="23" borderId="55" xfId="1" applyNumberFormat="1" applyFont="1" applyFill="1" applyBorder="1" applyAlignment="1" applyProtection="1">
      <alignment horizontal="center" vertical="center" wrapText="1"/>
      <protection locked="0"/>
    </xf>
    <xf numFmtId="166" fontId="39" fillId="22" borderId="56" xfId="8" applyNumberFormat="1" applyFill="1" applyBorder="1" applyAlignment="1" applyProtection="1">
      <alignment horizontal="center"/>
      <protection locked="0"/>
    </xf>
    <xf numFmtId="169" fontId="39" fillId="22" borderId="56" xfId="1" applyNumberFormat="1" applyFont="1" applyFill="1" applyBorder="1" applyAlignment="1" applyProtection="1">
      <alignment horizontal="center"/>
      <protection locked="0"/>
    </xf>
    <xf numFmtId="2" fontId="39" fillId="22" borderId="40" xfId="8" applyNumberFormat="1" applyFill="1" applyBorder="1" applyAlignment="1" applyProtection="1">
      <alignment horizontal="center"/>
      <protection locked="0"/>
    </xf>
    <xf numFmtId="169" fontId="39" fillId="22" borderId="40" xfId="1" applyNumberFormat="1" applyFont="1" applyFill="1" applyBorder="1" applyAlignment="1" applyProtection="1">
      <alignment horizontal="center"/>
      <protection locked="0"/>
    </xf>
    <xf numFmtId="169" fontId="39" fillId="0" borderId="0" xfId="1" applyNumberFormat="1" applyFont="1" applyAlignment="1">
      <alignment horizontal="center"/>
    </xf>
    <xf numFmtId="167" fontId="39" fillId="0" borderId="0" xfId="8" applyNumberFormat="1" applyAlignment="1">
      <alignment horizontal="center"/>
    </xf>
    <xf numFmtId="43" fontId="39" fillId="0" borderId="0" xfId="1" applyFont="1" applyAlignment="1">
      <alignment horizontal="center"/>
    </xf>
    <xf numFmtId="166" fontId="39" fillId="0" borderId="0" xfId="8" applyNumberFormat="1" applyAlignment="1">
      <alignment horizontal="center"/>
    </xf>
    <xf numFmtId="171" fontId="39" fillId="0" borderId="0" xfId="8" applyNumberFormat="1" applyAlignment="1">
      <alignment horizontal="center"/>
    </xf>
    <xf numFmtId="0" fontId="39" fillId="0" borderId="0" xfId="8" applyAlignment="1">
      <alignment horizontal="center"/>
    </xf>
    <xf numFmtId="169" fontId="39" fillId="0" borderId="0" xfId="1" applyNumberFormat="1" applyFont="1"/>
    <xf numFmtId="170" fontId="39" fillId="0" borderId="0" xfId="1" applyNumberFormat="1" applyFont="1" applyAlignment="1">
      <alignment horizontal="center"/>
    </xf>
    <xf numFmtId="0" fontId="19" fillId="0" borderId="0" xfId="6" applyAlignment="1">
      <alignment wrapText="1"/>
    </xf>
    <xf numFmtId="9" fontId="31" fillId="14" borderId="0" xfId="2" applyFont="1" applyFill="1" applyBorder="1" applyAlignment="1">
      <alignment horizontal="right" vertical="center"/>
    </xf>
  </cellXfs>
  <cellStyles count="9">
    <cellStyle name="Accent2" xfId="3" builtinId="33"/>
    <cellStyle name="Accent4" xfId="4" builtinId="41"/>
    <cellStyle name="Comma" xfId="1" builtinId="3"/>
    <cellStyle name="Hyperlink" xfId="6" builtinId="8"/>
    <cellStyle name="Hyperlink 2" xfId="7" xr:uid="{A276A1DE-AAA0-42AE-A478-CF14B6FD274C}"/>
    <cellStyle name="Normal" xfId="0" builtinId="0"/>
    <cellStyle name="Normal 2" xfId="8" xr:uid="{CB6443E4-0941-496D-9592-8E6FE7AD2863}"/>
    <cellStyle name="Normal 3" xfId="5" xr:uid="{09A1F709-6348-4A86-82C7-C0229D9CEB18}"/>
    <cellStyle name="Percent" xfId="2" builtinId="5"/>
  </cellStyles>
  <dxfs count="1"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551501</xdr:colOff>
      <xdr:row>19</xdr:row>
      <xdr:rowOff>5604</xdr:rowOff>
    </xdr:from>
    <xdr:to>
      <xdr:col>21</xdr:col>
      <xdr:colOff>302559</xdr:colOff>
      <xdr:row>28</xdr:row>
      <xdr:rowOff>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FB572-C2E2-4746-BC86-6139EA566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2741" y="3480324"/>
          <a:ext cx="4231618" cy="165287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135617</xdr:colOff>
      <xdr:row>19</xdr:row>
      <xdr:rowOff>22413</xdr:rowOff>
    </xdr:from>
    <xdr:to>
      <xdr:col>16</xdr:col>
      <xdr:colOff>257259</xdr:colOff>
      <xdr:row>27</xdr:row>
      <xdr:rowOff>97171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3649D0-9067-4FFF-8CB2-483538F0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3397" y="3497133"/>
          <a:ext cx="4945102" cy="154541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6077</xdr:colOff>
      <xdr:row>0</xdr:row>
      <xdr:rowOff>69185</xdr:rowOff>
    </xdr:from>
    <xdr:to>
      <xdr:col>16</xdr:col>
      <xdr:colOff>397698</xdr:colOff>
      <xdr:row>18</xdr:row>
      <xdr:rowOff>32343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353E98-9A97-429C-BBBD-058A50842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3857" y="69185"/>
          <a:ext cx="5215081" cy="3254998"/>
        </a:xfrm>
        <a:prstGeom prst="rect">
          <a:avLst/>
        </a:prstGeom>
      </xdr:spPr>
    </xdr:pic>
    <xdr:clientData/>
  </xdr:twoCellAnchor>
  <xdr:twoCellAnchor editAs="oneCell">
    <xdr:from>
      <xdr:col>16</xdr:col>
      <xdr:colOff>485740</xdr:colOff>
      <xdr:row>0</xdr:row>
      <xdr:rowOff>134469</xdr:rowOff>
    </xdr:from>
    <xdr:to>
      <xdr:col>23</xdr:col>
      <xdr:colOff>548844</xdr:colOff>
      <xdr:row>18</xdr:row>
      <xdr:rowOff>134471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D9870C-9F62-40AD-9ECB-327C07D4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16980" y="134469"/>
          <a:ext cx="6402944" cy="32918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78440</xdr:colOff>
      <xdr:row>2</xdr:row>
      <xdr:rowOff>11209</xdr:rowOff>
    </xdr:from>
    <xdr:to>
      <xdr:col>29</xdr:col>
      <xdr:colOff>313764</xdr:colOff>
      <xdr:row>34</xdr:row>
      <xdr:rowOff>6648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1F06A-B0E6-458C-A026-D1B1ED11D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2440" y="376969"/>
          <a:ext cx="8769724" cy="584759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11206</xdr:colOff>
      <xdr:row>55</xdr:row>
      <xdr:rowOff>56030</xdr:rowOff>
    </xdr:from>
    <xdr:to>
      <xdr:col>25</xdr:col>
      <xdr:colOff>353987</xdr:colOff>
      <xdr:row>56</xdr:row>
      <xdr:rowOff>65530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2BB21F-C517-4534-B0A5-3635130F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41606" y="10114430"/>
          <a:ext cx="952381" cy="19238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</xdr:colOff>
      <xdr:row>36</xdr:row>
      <xdr:rowOff>175870</xdr:rowOff>
    </xdr:from>
    <xdr:to>
      <xdr:col>14</xdr:col>
      <xdr:colOff>25151</xdr:colOff>
      <xdr:row>68</xdr:row>
      <xdr:rowOff>112734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9E9297-4CEE-477E-8CFF-DE9C22AA5D5A}"/>
            </a:ext>
            <a:ext uri="{147F2762-F138-4A5C-976F-8EAC2B608ADB}">
              <a16:predDERef xmlns:a16="http://schemas.microsoft.com/office/drawing/2014/main" pred="{542B244C-FF4F-4D1B-8E42-10F32507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44" y="6759550"/>
          <a:ext cx="8545607" cy="578902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477371</xdr:colOff>
      <xdr:row>2</xdr:row>
      <xdr:rowOff>3922</xdr:rowOff>
    </xdr:from>
    <xdr:to>
      <xdr:col>14</xdr:col>
      <xdr:colOff>390590</xdr:colOff>
      <xdr:row>34</xdr:row>
      <xdr:rowOff>3160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E22D32-34E9-4DF0-8F54-8F31056BB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371" y="369682"/>
          <a:ext cx="8447619" cy="58513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117786</xdr:colOff>
      <xdr:row>35</xdr:row>
      <xdr:rowOff>32621</xdr:rowOff>
    </xdr:from>
    <xdr:to>
      <xdr:col>29</xdr:col>
      <xdr:colOff>434347</xdr:colOff>
      <xdr:row>66</xdr:row>
      <xdr:rowOff>111063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F75A09-67DE-4578-84A3-E0EBC440F5A1}"/>
            </a:ext>
            <a:ext uri="{147F2762-F138-4A5C-976F-8EAC2B608ADB}">
              <a16:predDERef xmlns:a16="http://schemas.microsoft.com/office/drawing/2014/main" pred="{BDD89F63-24B2-4BB7-9037-25B9E2C5E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61786" y="6433421"/>
          <a:ext cx="8850961" cy="574772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337758</xdr:colOff>
      <xdr:row>0</xdr:row>
      <xdr:rowOff>0</xdr:rowOff>
    </xdr:from>
    <xdr:to>
      <xdr:col>20</xdr:col>
      <xdr:colOff>190888</xdr:colOff>
      <xdr:row>34</xdr:row>
      <xdr:rowOff>162430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D2E0F-327B-4798-8EBD-C3E92A057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358" y="0"/>
          <a:ext cx="11435530" cy="6380350"/>
        </a:xfrm>
        <a:prstGeom prst="rect">
          <a:avLst/>
        </a:prstGeom>
      </xdr:spPr>
    </xdr:pic>
    <xdr:clientData/>
  </xdr:twoCellAnchor>
  <xdr:twoCellAnchor editAs="oneCell">
    <xdr:from>
      <xdr:col>1</xdr:col>
      <xdr:colOff>536864</xdr:colOff>
      <xdr:row>35</xdr:row>
      <xdr:rowOff>0</xdr:rowOff>
    </xdr:from>
    <xdr:to>
      <xdr:col>20</xdr:col>
      <xdr:colOff>292402</xdr:colOff>
      <xdr:row>78</xdr:row>
      <xdr:rowOff>34636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56044C-F999-4324-B3E9-2368C27B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6464" y="6400800"/>
          <a:ext cx="11337938" cy="7898476"/>
        </a:xfrm>
        <a:prstGeom prst="rect">
          <a:avLst/>
        </a:prstGeom>
      </xdr:spPr>
    </xdr:pic>
    <xdr:clientData/>
  </xdr:twoCellAnchor>
  <xdr:twoCellAnchor editAs="oneCell">
    <xdr:from>
      <xdr:col>36</xdr:col>
      <xdr:colOff>518680</xdr:colOff>
      <xdr:row>1</xdr:row>
      <xdr:rowOff>25112</xdr:rowOff>
    </xdr:from>
    <xdr:to>
      <xdr:col>52</xdr:col>
      <xdr:colOff>467591</xdr:colOff>
      <xdr:row>30</xdr:row>
      <xdr:rowOff>69273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02A58D-7FBA-4321-953B-082F03A893C7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64280" y="207992"/>
          <a:ext cx="9702511" cy="5347681"/>
        </a:xfrm>
        <a:prstGeom prst="rect">
          <a:avLst/>
        </a:prstGeom>
      </xdr:spPr>
    </xdr:pic>
    <xdr:clientData/>
  </xdr:twoCellAnchor>
  <xdr:twoCellAnchor editAs="oneCell">
    <xdr:from>
      <xdr:col>21</xdr:col>
      <xdr:colOff>340303</xdr:colOff>
      <xdr:row>55</xdr:row>
      <xdr:rowOff>82260</xdr:rowOff>
    </xdr:from>
    <xdr:to>
      <xdr:col>28</xdr:col>
      <xdr:colOff>287174</xdr:colOff>
      <xdr:row>66</xdr:row>
      <xdr:rowOff>73026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5D5D62-33E3-4FB9-A896-706548EC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1903" y="10140660"/>
          <a:ext cx="4214071" cy="2002446"/>
        </a:xfrm>
        <a:prstGeom prst="rect">
          <a:avLst/>
        </a:prstGeom>
      </xdr:spPr>
    </xdr:pic>
    <xdr:clientData/>
  </xdr:twoCellAnchor>
  <xdr:twoCellAnchor editAs="oneCell">
    <xdr:from>
      <xdr:col>36</xdr:col>
      <xdr:colOff>415636</xdr:colOff>
      <xdr:row>32</xdr:row>
      <xdr:rowOff>155863</xdr:rowOff>
    </xdr:from>
    <xdr:to>
      <xdr:col>50</xdr:col>
      <xdr:colOff>415636</xdr:colOff>
      <xdr:row>61</xdr:row>
      <xdr:rowOff>7542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97BEB4-EC58-4D66-99C0-F4C874A1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361236" y="6008023"/>
          <a:ext cx="8534400" cy="515519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20</xdr:col>
      <xdr:colOff>363683</xdr:colOff>
      <xdr:row>0</xdr:row>
      <xdr:rowOff>86591</xdr:rowOff>
    </xdr:from>
    <xdr:to>
      <xdr:col>35</xdr:col>
      <xdr:colOff>582117</xdr:colOff>
      <xdr:row>55</xdr:row>
      <xdr:rowOff>103909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AA689A-B5EE-4F22-AE8E-7B7F927F3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55683" y="86591"/>
          <a:ext cx="9362434" cy="100757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%20Wine%20Making%2005-5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ite Pearl 2022"/>
      <sheetName val="Fosh Wine 2022"/>
      <sheetName val="Kay Gray Wine 2022"/>
      <sheetName val="Brianna 2022"/>
      <sheetName val="Kiwi Wine 2022"/>
      <sheetName val="Banana 2022"/>
      <sheetName val="Riesling 2022"/>
      <sheetName val="Moscatel 2022"/>
      <sheetName val="Cabeernet Franc2022"/>
      <sheetName val="Malbec2022"/>
      <sheetName val="Barbera 2022"/>
      <sheetName val="Merlot 2022"/>
      <sheetName val="2021 Carmenere 1"/>
      <sheetName val="2021 Sangiovese"/>
      <sheetName val="FLOW CHARTS"/>
      <sheetName val="Sheet3"/>
      <sheetName val="Kay Gray"/>
      <sheetName val="Cab2021"/>
      <sheetName val="Master"/>
      <sheetName val="pH  and TA Info"/>
      <sheetName val="pH-TA-SO2 ANALYSIS AND CONTROL"/>
      <sheetName val="pH-TA-Adj effects-impact"/>
      <sheetName val="OPTI-Red FT Rouge"/>
      <sheetName val="Yeast"/>
      <sheetName val="Chemicals"/>
      <sheetName val="Wine Blend Caluator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C4" t="str">
            <v>7.0 - 9.0</v>
          </cell>
          <cell r="E4" t="str">
            <v>3.1 - 3.4</v>
          </cell>
        </row>
        <row r="5">
          <cell r="C5" t="str">
            <v>6.0 - 8.0</v>
          </cell>
          <cell r="E5" t="str">
            <v>3.3 - 3.6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harles Poirier" id="{F683CB4C-1D26-43F0-A3BD-5FDF09EDF6C4}" userId="43be494bd30e1010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" dT="2022-09-23T04:54:33.41" personId="{F683CB4C-1D26-43F0-A3BD-5FDF09EDF6C4}" id="{FBFB7050-6848-465C-A07C-F54B7050AB1B}">
    <text xml:space="preserve">Enter White or red for type of wine. Values will change for range of analytics. </text>
  </threadedComment>
  <threadedComment ref="D17" dT="2022-09-23T04:55:31.01" personId="{F683CB4C-1D26-43F0-A3BD-5FDF09EDF6C4}" id="{5B944BA4-5584-4463-897F-DA663FACB746}">
    <text xml:space="preserve">Enter your desired alcohol and the formula will calculate what to add to your must.
</text>
  </threadedComment>
  <threadedComment ref="C20" dT="2022-09-23T04:56:24.50" personId="{F683CB4C-1D26-43F0-A3BD-5FDF09EDF6C4}" id="{C0860E27-3094-4608-BFE0-D24C50FFE525}">
    <text>Enter either Dextrose or Sucrose and the formula will calculate what quantity you need to add to achieve the desired alcohol.</text>
  </threadedComment>
  <threadedComment ref="B25" dT="2022-09-23T04:52:20.08" personId="{F683CB4C-1D26-43F0-A3BD-5FDF09EDF6C4}" id="{9B837AD0-A45C-4960-ADE3-432EBA2391DB}">
    <text xml:space="preserve">Enter your receipt here. Standard columns will are based on receipt. Column G is the multiplier based on volume of batch. Actual is the quantity you decide to use. 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inemakermag.com/resource/1301-sulfite-calculator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scott-labs-static.sfo3.cdn.digitaloceanspaces.com/legacy-guide-pdfs/Scott-2022-Winemaking-Handbook-Web.pdf" TargetMode="External"/><Relationship Id="rId1" Type="http://schemas.openxmlformats.org/officeDocument/2006/relationships/hyperlink" Target="https://winemakermag.com/1301-sulfite-calculator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92F20-828C-499B-961B-E26276948F2F}">
  <sheetPr>
    <tabColor rgb="FF002060"/>
    <pageSetUpPr fitToPage="1"/>
  </sheetPr>
  <dimension ref="A1:AG523"/>
  <sheetViews>
    <sheetView tabSelected="1" zoomScale="85" zoomScaleNormal="85" workbookViewId="0">
      <selection activeCell="F16" sqref="F16"/>
    </sheetView>
  </sheetViews>
  <sheetFormatPr defaultRowHeight="14.4"/>
  <cols>
    <col min="1" max="1" width="10.109375" style="155" customWidth="1"/>
    <col min="2" max="2" width="29.44140625" customWidth="1"/>
    <col min="3" max="3" width="8.21875" customWidth="1"/>
    <col min="4" max="4" width="13.5546875" customWidth="1"/>
    <col min="5" max="5" width="15.88671875" customWidth="1"/>
    <col min="6" max="6" width="15.77734375" bestFit="1" customWidth="1"/>
    <col min="7" max="7" width="12" customWidth="1"/>
    <col min="8" max="8" width="13.44140625" customWidth="1"/>
    <col min="9" max="9" width="9.5546875" customWidth="1"/>
    <col min="10" max="10" width="1.88671875" customWidth="1"/>
    <col min="11" max="11" width="11.33203125" customWidth="1"/>
    <col min="12" max="12" width="18.44140625" style="84" customWidth="1"/>
    <col min="13" max="13" width="8.88671875" style="194"/>
    <col min="14" max="14" width="8.88671875" style="212"/>
    <col min="15" max="15" width="10" style="212" bestFit="1" customWidth="1"/>
    <col min="16" max="16" width="12.33203125" customWidth="1"/>
    <col min="17" max="17" width="11.109375" customWidth="1"/>
    <col min="18" max="24" width="13.5546875" customWidth="1"/>
  </cols>
  <sheetData>
    <row r="1" spans="2:21"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6"/>
      <c r="M1" s="155"/>
      <c r="N1" s="155"/>
      <c r="O1" s="155"/>
      <c r="P1" s="155"/>
      <c r="Q1" s="155"/>
      <c r="R1" s="155"/>
      <c r="S1" s="155"/>
      <c r="T1" s="155"/>
      <c r="U1" s="155"/>
    </row>
    <row r="2" spans="2:21">
      <c r="B2" s="155"/>
      <c r="C2" s="155"/>
      <c r="D2" s="155"/>
      <c r="E2" s="155"/>
      <c r="F2" s="155"/>
      <c r="G2" s="155"/>
      <c r="H2" s="155"/>
      <c r="I2" s="155"/>
      <c r="J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2:21">
      <c r="B3" s="157" t="s">
        <v>475</v>
      </c>
      <c r="C3" s="157"/>
      <c r="D3" s="157" t="s">
        <v>476</v>
      </c>
      <c r="E3" s="157"/>
      <c r="F3" s="157"/>
      <c r="G3" s="157" t="s">
        <v>477</v>
      </c>
      <c r="H3" s="158">
        <f>IF(C20="Dextrose",G18,IF(C20="Sucrose",H18,C10))</f>
        <v>5.3783328285398282</v>
      </c>
      <c r="I3" s="157"/>
      <c r="J3" s="155"/>
      <c r="K3" s="155" t="s">
        <v>478</v>
      </c>
      <c r="L3" s="156" t="str">
        <f>IF(C5="white",IF(D11&lt;3.1,"Low",IF(C5="white",IF(D11&gt;3.4,"High","OK"))))</f>
        <v>High</v>
      </c>
      <c r="M3" s="155"/>
      <c r="N3" s="155"/>
      <c r="O3" s="155"/>
      <c r="P3" s="155"/>
      <c r="Q3" s="155"/>
      <c r="R3" s="155"/>
      <c r="S3" s="155"/>
      <c r="T3" s="155"/>
      <c r="U3" s="155"/>
    </row>
    <row r="4" spans="2:21">
      <c r="B4" s="155"/>
      <c r="C4" s="155"/>
      <c r="D4" s="155"/>
      <c r="E4" s="155"/>
      <c r="F4" s="155"/>
      <c r="G4" s="155"/>
      <c r="H4" s="155"/>
      <c r="I4" s="155"/>
      <c r="J4" s="155"/>
      <c r="K4" s="155" t="s">
        <v>479</v>
      </c>
      <c r="L4" s="156" t="b">
        <f>IF(C5="red",IF(D11&lt;3.3,"Low",IF(C5="red",IF(D11&gt;3.6,"High","OK"))))</f>
        <v>0</v>
      </c>
      <c r="M4" s="155"/>
      <c r="N4" s="155"/>
      <c r="O4" s="155"/>
      <c r="P4" s="155"/>
      <c r="Q4" s="155"/>
      <c r="R4" s="155"/>
      <c r="S4" s="155"/>
      <c r="T4" s="155"/>
      <c r="U4" s="155"/>
    </row>
    <row r="5" spans="2:21">
      <c r="B5" s="157" t="s">
        <v>480</v>
      </c>
      <c r="C5" s="159" t="s">
        <v>603</v>
      </c>
      <c r="D5" s="157" t="s">
        <v>481</v>
      </c>
      <c r="E5" s="157"/>
      <c r="F5" s="157"/>
      <c r="G5" s="157" t="s">
        <v>482</v>
      </c>
      <c r="H5" s="157"/>
      <c r="I5" s="157"/>
      <c r="J5" s="155"/>
      <c r="K5" s="155" t="s">
        <v>483</v>
      </c>
      <c r="L5" s="156" t="str">
        <f>IF(C5="white",IF(D12&lt;7,"Low",IF(C5="white",IF(D12&gt;9,"High","OK"))))</f>
        <v>Low</v>
      </c>
      <c r="M5" s="155"/>
      <c r="N5" s="155"/>
      <c r="O5" s="155"/>
      <c r="P5" s="155"/>
      <c r="Q5" s="155"/>
      <c r="R5" s="155"/>
      <c r="S5" s="155"/>
      <c r="T5" s="155"/>
      <c r="U5" s="155"/>
    </row>
    <row r="6" spans="2:21">
      <c r="B6" s="155"/>
      <c r="C6" s="155"/>
      <c r="D6" s="155"/>
      <c r="E6" s="155"/>
      <c r="F6" s="155"/>
      <c r="G6" s="155"/>
      <c r="H6" s="155"/>
      <c r="I6" s="155"/>
      <c r="J6" s="155"/>
      <c r="K6" s="155" t="s">
        <v>484</v>
      </c>
      <c r="L6" s="156" t="b">
        <f>IF(C5="red",IF(D12&lt;6,"Low",IF(C5="red",IF(D12&gt;8,"High","OK"))))</f>
        <v>0</v>
      </c>
      <c r="M6" s="155"/>
      <c r="N6" s="155"/>
      <c r="O6" s="155"/>
      <c r="P6" s="155"/>
      <c r="Q6" s="155"/>
      <c r="R6" s="155"/>
      <c r="S6" s="155"/>
      <c r="T6" s="155"/>
      <c r="U6" s="155"/>
    </row>
    <row r="7" spans="2:21">
      <c r="B7" s="157" t="s">
        <v>31</v>
      </c>
      <c r="C7" s="157"/>
      <c r="D7" s="157"/>
      <c r="E7" s="157"/>
      <c r="F7" s="157"/>
      <c r="G7" s="157"/>
      <c r="H7" s="157"/>
      <c r="I7" s="157"/>
      <c r="J7" s="155"/>
      <c r="K7" s="155" t="s">
        <v>485</v>
      </c>
      <c r="L7" s="156"/>
      <c r="M7" s="155"/>
      <c r="N7" s="155"/>
      <c r="O7" s="155"/>
      <c r="P7" s="155"/>
      <c r="Q7" s="155"/>
      <c r="R7" s="155"/>
      <c r="S7" s="155"/>
      <c r="T7" s="155"/>
      <c r="U7" s="155"/>
    </row>
    <row r="8" spans="2:21">
      <c r="B8" s="155"/>
      <c r="C8" s="155"/>
      <c r="D8" s="155"/>
      <c r="E8" s="155"/>
      <c r="F8" s="155"/>
      <c r="G8" s="155"/>
      <c r="H8" s="155"/>
      <c r="I8" s="155"/>
      <c r="J8" s="155"/>
      <c r="K8" s="155" t="s">
        <v>486</v>
      </c>
      <c r="L8" s="156"/>
      <c r="M8" s="155"/>
      <c r="N8" s="155"/>
      <c r="O8" s="155"/>
      <c r="P8" s="155"/>
      <c r="Q8" s="155"/>
      <c r="R8" s="155"/>
      <c r="S8" s="155"/>
      <c r="T8" s="155"/>
      <c r="U8" s="155"/>
    </row>
    <row r="9" spans="2:21">
      <c r="B9" s="160" t="s">
        <v>487</v>
      </c>
      <c r="C9" s="157"/>
      <c r="D9" s="161" t="s">
        <v>488</v>
      </c>
      <c r="E9" s="161" t="s">
        <v>489</v>
      </c>
      <c r="F9" s="161" t="s">
        <v>490</v>
      </c>
      <c r="G9" s="155"/>
      <c r="H9" s="155"/>
      <c r="I9" s="155"/>
      <c r="J9" s="155"/>
      <c r="K9" s="155"/>
      <c r="L9" s="156"/>
      <c r="M9" s="155"/>
      <c r="N9" s="155"/>
      <c r="O9" s="155"/>
      <c r="P9" s="155"/>
      <c r="Q9" s="155"/>
      <c r="R9" s="155"/>
      <c r="S9" s="155"/>
      <c r="T9" s="155"/>
      <c r="U9" s="155"/>
    </row>
    <row r="10" spans="2:21">
      <c r="B10" s="155" t="s">
        <v>491</v>
      </c>
      <c r="C10" s="162">
        <v>5</v>
      </c>
      <c r="D10" s="155"/>
      <c r="E10" s="155"/>
      <c r="F10" s="155"/>
      <c r="G10" s="155"/>
      <c r="H10" s="155"/>
      <c r="I10" s="155"/>
      <c r="J10" s="155"/>
      <c r="K10" s="155"/>
      <c r="L10" s="156"/>
      <c r="M10" s="155"/>
      <c r="N10" s="155"/>
      <c r="O10" s="155"/>
      <c r="P10" s="155"/>
      <c r="Q10" s="155"/>
      <c r="R10" s="155"/>
      <c r="S10" s="155"/>
      <c r="T10" s="155"/>
      <c r="U10" s="155"/>
    </row>
    <row r="11" spans="2:21">
      <c r="B11" s="157" t="s">
        <v>492</v>
      </c>
      <c r="C11" s="157"/>
      <c r="D11" s="163">
        <v>3.5</v>
      </c>
      <c r="E11" s="161" t="str">
        <f>IF($C$5="red",'[1]pH-TA-SO2 ANALYSIS AND CONTROL'!$E$5,IF($C$5="white",'[1]pH-TA-SO2 ANALYSIS AND CONTROL'!$E$4,"Enter Red or White in C5"))</f>
        <v>3.1 - 3.4</v>
      </c>
      <c r="F11" s="157" t="str">
        <f>IF($C$5="White",$L$3,IF($C$5="red",$L$4,""))</f>
        <v>High</v>
      </c>
      <c r="G11" s="155"/>
      <c r="I11" s="155"/>
      <c r="J11" s="155"/>
      <c r="K11" s="155"/>
      <c r="L11" s="156"/>
      <c r="M11" s="155"/>
      <c r="N11" s="155"/>
      <c r="O11" s="155"/>
      <c r="P11" s="155"/>
      <c r="Q11" s="155"/>
      <c r="R11" s="155"/>
      <c r="S11" s="155"/>
      <c r="T11" s="155"/>
      <c r="U11" s="155"/>
    </row>
    <row r="12" spans="2:21">
      <c r="B12" s="164" t="s">
        <v>493</v>
      </c>
      <c r="C12" s="164"/>
      <c r="D12" s="163">
        <v>5</v>
      </c>
      <c r="E12" s="165" t="str">
        <f>IF($C$5="red",'[1]pH-TA-SO2 ANALYSIS AND CONTROL'!$C$5,IF($C$5="white",'[1]pH-TA-SO2 ANALYSIS AND CONTROL'!$C$4,"Enter Red or White in C5"))</f>
        <v>7.0 - 9.0</v>
      </c>
      <c r="F12" s="164" t="str">
        <f>IF($C$5="White",$L$5,IF(C5="red",$L$6,""))</f>
        <v>Low</v>
      </c>
      <c r="G12" s="155"/>
      <c r="H12" s="155"/>
      <c r="I12" s="155"/>
      <c r="J12" s="155"/>
      <c r="K12" s="155"/>
      <c r="L12" s="156"/>
      <c r="M12" s="155"/>
      <c r="N12" s="155"/>
      <c r="O12" s="155"/>
      <c r="P12" s="155"/>
      <c r="Q12" s="155"/>
      <c r="R12" s="155"/>
      <c r="S12" s="155"/>
      <c r="T12" s="155"/>
      <c r="U12" s="155"/>
    </row>
    <row r="13" spans="2:21">
      <c r="B13" s="164" t="s">
        <v>494</v>
      </c>
      <c r="C13" s="164"/>
      <c r="D13" s="166">
        <v>1.05</v>
      </c>
      <c r="E13" s="165">
        <v>1.0880000000000001</v>
      </c>
      <c r="F13" s="164" t="str">
        <f>IF($D$13&lt;1.085,"Low",IF(D13&gt;1.088,"High","OK"))</f>
        <v>Low</v>
      </c>
      <c r="G13" s="155"/>
      <c r="H13" s="155"/>
      <c r="I13" s="155"/>
      <c r="J13" s="155"/>
      <c r="K13" s="155"/>
      <c r="L13" s="156"/>
      <c r="M13" s="155"/>
      <c r="N13" s="155"/>
      <c r="O13" s="155"/>
      <c r="P13" s="155"/>
      <c r="Q13" s="155"/>
      <c r="R13" s="155"/>
      <c r="S13" s="155"/>
      <c r="T13" s="155"/>
      <c r="U13" s="155"/>
    </row>
    <row r="14" spans="2:21">
      <c r="B14" s="155" t="s">
        <v>495</v>
      </c>
      <c r="C14" s="155"/>
      <c r="D14" s="167">
        <f>(((182.4601*D13-775.6821)*D13+1262.7794)*D13-669.5622)</f>
        <v>12.387028012500082</v>
      </c>
      <c r="E14" s="156"/>
      <c r="F14" s="155"/>
      <c r="G14" s="155"/>
      <c r="H14" s="155"/>
      <c r="I14" s="155"/>
      <c r="J14" s="155"/>
      <c r="K14" s="155"/>
      <c r="L14" s="156"/>
      <c r="M14" s="155"/>
      <c r="N14" s="155"/>
      <c r="O14" s="155"/>
      <c r="P14" s="155"/>
      <c r="Q14" s="155"/>
      <c r="R14" s="155"/>
      <c r="S14" s="155"/>
      <c r="T14" s="155"/>
      <c r="U14" s="155"/>
    </row>
    <row r="15" spans="2:21">
      <c r="B15" s="155" t="s">
        <v>496</v>
      </c>
      <c r="C15" s="155"/>
      <c r="D15" s="168">
        <f>((D13-0.99)/7.36)*10</f>
        <v>8.1521739130434853E-2</v>
      </c>
      <c r="E15" s="156"/>
      <c r="F15" s="155"/>
      <c r="G15" s="155"/>
      <c r="H15" s="155"/>
      <c r="I15" s="155"/>
      <c r="J15" s="155"/>
      <c r="K15" s="155"/>
      <c r="M15" s="155"/>
      <c r="N15" s="155"/>
      <c r="O15" s="155"/>
      <c r="P15" s="155"/>
      <c r="Q15" s="155"/>
      <c r="R15" s="155"/>
      <c r="S15" s="155"/>
      <c r="T15" s="155"/>
      <c r="U15" s="155"/>
    </row>
    <row r="16" spans="2:21">
      <c r="B16" s="155"/>
      <c r="C16" s="155"/>
      <c r="D16" s="155"/>
      <c r="E16" s="156" t="s">
        <v>497</v>
      </c>
      <c r="F16" s="169" t="s">
        <v>498</v>
      </c>
      <c r="G16" s="170" t="s">
        <v>499</v>
      </c>
      <c r="H16" s="170" t="s">
        <v>500</v>
      </c>
      <c r="I16" s="155"/>
      <c r="J16" s="155"/>
      <c r="K16" s="155"/>
      <c r="M16" s="155"/>
      <c r="N16" s="155"/>
      <c r="O16" s="155"/>
      <c r="P16" s="155"/>
      <c r="Q16" s="155"/>
      <c r="R16" s="155"/>
      <c r="S16" s="155"/>
      <c r="T16" s="155"/>
      <c r="U16" s="155"/>
    </row>
    <row r="17" spans="2:23">
      <c r="B17" s="155" t="s">
        <v>501</v>
      </c>
      <c r="C17" s="155"/>
      <c r="D17" s="171">
        <f>IF(F16="yes",13,"")</f>
        <v>13</v>
      </c>
      <c r="E17" s="156"/>
      <c r="F17" s="155" t="s">
        <v>502</v>
      </c>
      <c r="G17" s="172">
        <f>D487</f>
        <v>6.1450286232089564</v>
      </c>
      <c r="H17" s="173">
        <f>M487</f>
        <v>5.0729961000455788</v>
      </c>
      <c r="I17" s="155"/>
      <c r="J17" s="155"/>
      <c r="K17" s="155"/>
      <c r="M17" s="155"/>
      <c r="N17" s="155"/>
      <c r="O17" s="155"/>
      <c r="P17" s="155"/>
      <c r="Q17" s="155"/>
      <c r="R17" s="155"/>
      <c r="S17" s="155"/>
      <c r="T17" s="155"/>
      <c r="U17" s="155"/>
    </row>
    <row r="18" spans="2:23">
      <c r="B18" s="155" t="s">
        <v>503</v>
      </c>
      <c r="C18" s="155"/>
      <c r="D18" s="174">
        <f>(D17/132)+0.99</f>
        <v>1.0884848484848484</v>
      </c>
      <c r="E18" s="156"/>
      <c r="F18" s="155" t="s">
        <v>504</v>
      </c>
      <c r="G18" s="172">
        <f>+D488</f>
        <v>5.4798785292271122</v>
      </c>
      <c r="H18" s="173">
        <f>M488</f>
        <v>5.3783328285398282</v>
      </c>
      <c r="I18" s="155"/>
      <c r="J18" s="155"/>
      <c r="K18" s="155"/>
      <c r="M18" s="155"/>
      <c r="N18" s="155"/>
      <c r="O18" s="155"/>
      <c r="P18" s="155"/>
      <c r="Q18" s="155"/>
      <c r="R18" s="155"/>
      <c r="S18" s="155"/>
      <c r="T18" s="155"/>
      <c r="U18" s="155"/>
    </row>
    <row r="19" spans="2:23">
      <c r="B19" s="155" t="s">
        <v>505</v>
      </c>
      <c r="C19" s="155"/>
      <c r="D19" s="167">
        <f>(((182.4601*D18-775.6821)*D18+1262.7794)*D18-669.5622)</f>
        <v>21.233584068732171</v>
      </c>
      <c r="E19" s="156"/>
      <c r="F19" s="155" t="s">
        <v>506</v>
      </c>
      <c r="G19" s="172">
        <f>+D489</f>
        <v>3.1935014447242169</v>
      </c>
      <c r="H19" s="173">
        <f>M489</f>
        <v>3.2537964008358147</v>
      </c>
      <c r="I19" s="156"/>
      <c r="J19" s="155"/>
      <c r="K19" s="155"/>
      <c r="L19" s="156"/>
      <c r="M19" s="155"/>
      <c r="N19" s="155"/>
      <c r="O19" s="155"/>
      <c r="P19" s="155"/>
      <c r="Q19" s="155"/>
      <c r="R19" s="155"/>
      <c r="S19" s="155"/>
      <c r="T19" s="155"/>
      <c r="U19" s="155"/>
    </row>
    <row r="20" spans="2:23">
      <c r="B20" s="155" t="s">
        <v>507</v>
      </c>
      <c r="C20" s="175" t="s">
        <v>508</v>
      </c>
      <c r="D20" s="155"/>
      <c r="E20" s="156"/>
      <c r="F20" s="156"/>
      <c r="G20" s="156"/>
      <c r="H20" s="156"/>
      <c r="I20" s="156"/>
      <c r="J20" s="155"/>
      <c r="K20" s="155"/>
      <c r="L20" s="156"/>
      <c r="M20" s="155"/>
      <c r="N20" s="155"/>
      <c r="O20" s="155"/>
      <c r="P20" s="155"/>
      <c r="T20" s="155"/>
      <c r="U20" s="155"/>
    </row>
    <row r="21" spans="2:23">
      <c r="B21" s="155"/>
      <c r="C21" s="155"/>
      <c r="D21" s="155"/>
      <c r="E21" s="156"/>
      <c r="F21" s="155"/>
      <c r="G21" s="155"/>
      <c r="H21" s="155"/>
      <c r="I21" s="155"/>
      <c r="J21" s="155"/>
      <c r="K21" s="155"/>
      <c r="L21" s="156"/>
      <c r="M21" s="155"/>
      <c r="N21" s="155"/>
      <c r="O21" s="155"/>
      <c r="P21" s="155"/>
      <c r="T21" s="155"/>
      <c r="U21" s="155"/>
    </row>
    <row r="22" spans="2:23" s="176" customFormat="1">
      <c r="I22" s="177"/>
      <c r="L22" s="178"/>
      <c r="M22" s="179"/>
      <c r="N22" s="155"/>
      <c r="O22" s="155"/>
      <c r="P22" s="155"/>
      <c r="Q22"/>
      <c r="R22"/>
    </row>
    <row r="23" spans="2:23" s="176" customFormat="1">
      <c r="B23" s="180" t="s">
        <v>509</v>
      </c>
      <c r="C23" s="181"/>
      <c r="D23" s="182"/>
      <c r="E23" s="183" t="s">
        <v>510</v>
      </c>
      <c r="F23" s="183"/>
      <c r="G23" s="184" t="s">
        <v>511</v>
      </c>
      <c r="H23" s="185" t="s">
        <v>488</v>
      </c>
      <c r="I23" s="185"/>
      <c r="L23" s="178"/>
      <c r="M23" s="179"/>
      <c r="N23" s="155"/>
      <c r="O23" s="155"/>
      <c r="P23" s="155"/>
      <c r="Q23"/>
      <c r="R23"/>
    </row>
    <row r="24" spans="2:23" s="176" customFormat="1">
      <c r="B24" s="186"/>
      <c r="C24" s="180"/>
      <c r="D24" s="182"/>
      <c r="E24" s="187" t="s">
        <v>366</v>
      </c>
      <c r="F24" s="187" t="s">
        <v>512</v>
      </c>
      <c r="G24" s="184"/>
      <c r="H24" s="187" t="s">
        <v>513</v>
      </c>
      <c r="I24" s="187" t="s">
        <v>512</v>
      </c>
      <c r="L24" s="178"/>
      <c r="M24" s="179"/>
      <c r="N24" s="155"/>
      <c r="O24" s="155"/>
      <c r="P24" s="155"/>
      <c r="Q24"/>
      <c r="R24"/>
      <c r="W24" s="188"/>
    </row>
    <row r="25" spans="2:23" ht="15" customHeight="1">
      <c r="B25" s="189" t="s">
        <v>514</v>
      </c>
      <c r="C25" s="155"/>
      <c r="D25" s="155"/>
      <c r="E25" s="190"/>
      <c r="F25" s="191"/>
      <c r="G25" s="301">
        <f>G26/E26</f>
        <v>6</v>
      </c>
      <c r="H25" s="192"/>
      <c r="I25" s="193">
        <f>F25</f>
        <v>0</v>
      </c>
      <c r="N25" s="155"/>
      <c r="O25" s="155"/>
      <c r="P25" s="155"/>
      <c r="W25" s="195"/>
    </row>
    <row r="26" spans="2:23">
      <c r="B26" s="157" t="s">
        <v>515</v>
      </c>
      <c r="C26" s="157"/>
      <c r="D26" s="157"/>
      <c r="E26" s="196">
        <v>5</v>
      </c>
      <c r="F26" s="197" t="s">
        <v>516</v>
      </c>
      <c r="G26" s="198">
        <v>30</v>
      </c>
      <c r="H26" s="202"/>
      <c r="I26" s="193" t="str">
        <f t="shared" ref="I26:I44" si="0">F26</f>
        <v>Gal</v>
      </c>
      <c r="N26" s="155"/>
      <c r="O26" s="155"/>
      <c r="P26" s="155"/>
      <c r="W26" s="195"/>
    </row>
    <row r="27" spans="2:23">
      <c r="B27" s="164" t="s">
        <v>100</v>
      </c>
      <c r="C27" s="164"/>
      <c r="D27" s="164"/>
      <c r="E27" s="199">
        <v>0</v>
      </c>
      <c r="F27" s="200" t="s">
        <v>517</v>
      </c>
      <c r="G27" s="201">
        <f>+E27*G25</f>
        <v>0</v>
      </c>
      <c r="H27" s="202"/>
      <c r="I27" s="193" t="str">
        <f t="shared" si="0"/>
        <v>lbs.</v>
      </c>
      <c r="N27" s="155"/>
      <c r="O27" s="155"/>
      <c r="P27" s="155"/>
      <c r="W27" s="195"/>
    </row>
    <row r="28" spans="2:23">
      <c r="B28" s="164" t="s">
        <v>518</v>
      </c>
      <c r="C28" s="164"/>
      <c r="D28" s="164"/>
      <c r="E28" s="199">
        <v>0</v>
      </c>
      <c r="F28" s="200" t="s">
        <v>519</v>
      </c>
      <c r="G28" s="201">
        <f>+E28*$G$25</f>
        <v>0</v>
      </c>
      <c r="H28" s="202"/>
      <c r="I28" s="193" t="str">
        <f t="shared" si="0"/>
        <v>Grams</v>
      </c>
      <c r="N28" s="155"/>
      <c r="O28" s="155"/>
      <c r="P28" s="155"/>
      <c r="W28" s="195"/>
    </row>
    <row r="29" spans="2:23">
      <c r="B29" s="164" t="s">
        <v>520</v>
      </c>
      <c r="C29" s="164"/>
      <c r="D29" s="164"/>
      <c r="E29" s="199"/>
      <c r="F29" s="200"/>
      <c r="G29" s="201">
        <f t="shared" ref="G29:G39" si="1">+E29*$G$25</f>
        <v>0</v>
      </c>
      <c r="H29" s="202"/>
      <c r="I29" s="193">
        <f t="shared" si="0"/>
        <v>0</v>
      </c>
      <c r="L29" s="204" t="s">
        <v>521</v>
      </c>
      <c r="N29" s="155"/>
      <c r="O29" s="155"/>
      <c r="P29" s="155"/>
      <c r="W29" s="195"/>
    </row>
    <row r="30" spans="2:23">
      <c r="B30" s="164" t="s">
        <v>522</v>
      </c>
      <c r="C30" s="164"/>
      <c r="D30" s="164"/>
      <c r="E30" s="199"/>
      <c r="F30" s="200"/>
      <c r="G30" s="201">
        <f t="shared" si="1"/>
        <v>0</v>
      </c>
      <c r="H30" s="202"/>
      <c r="I30" s="193">
        <f t="shared" si="0"/>
        <v>0</v>
      </c>
      <c r="L30" s="205" t="s">
        <v>523</v>
      </c>
      <c r="N30" s="155"/>
      <c r="O30" s="155"/>
      <c r="P30" s="155"/>
      <c r="W30" s="195"/>
    </row>
    <row r="31" spans="2:23">
      <c r="B31" s="164" t="s">
        <v>524</v>
      </c>
      <c r="C31" s="164"/>
      <c r="D31" s="164"/>
      <c r="E31" s="199"/>
      <c r="F31" s="200"/>
      <c r="G31" s="201">
        <f t="shared" si="1"/>
        <v>0</v>
      </c>
      <c r="H31" s="202"/>
      <c r="I31" s="193">
        <f t="shared" si="0"/>
        <v>0</v>
      </c>
      <c r="L31" s="206" t="s">
        <v>525</v>
      </c>
      <c r="N31" s="155"/>
      <c r="O31" s="155"/>
      <c r="P31" s="155"/>
      <c r="W31" s="195"/>
    </row>
    <row r="32" spans="2:23">
      <c r="B32" s="164" t="s">
        <v>526</v>
      </c>
      <c r="C32" s="164"/>
      <c r="D32" s="164"/>
      <c r="E32" s="199"/>
      <c r="F32" s="200"/>
      <c r="G32" s="201">
        <f t="shared" si="1"/>
        <v>0</v>
      </c>
      <c r="H32" s="202"/>
      <c r="I32" s="193">
        <f t="shared" si="0"/>
        <v>0</v>
      </c>
      <c r="L32" s="207" t="s">
        <v>527</v>
      </c>
      <c r="N32" s="155"/>
      <c r="O32" s="155"/>
      <c r="P32" s="155"/>
      <c r="W32" s="195"/>
    </row>
    <row r="33" spans="2:24">
      <c r="B33" s="164" t="s">
        <v>528</v>
      </c>
      <c r="C33" s="164"/>
      <c r="D33" s="164"/>
      <c r="E33" s="199"/>
      <c r="F33" s="200"/>
      <c r="G33" s="201">
        <f t="shared" si="1"/>
        <v>0</v>
      </c>
      <c r="H33" s="202"/>
      <c r="I33" s="193">
        <f t="shared" si="0"/>
        <v>0</v>
      </c>
      <c r="N33" s="155"/>
      <c r="O33" s="155"/>
      <c r="P33" s="155"/>
      <c r="W33" s="195"/>
    </row>
    <row r="34" spans="2:24">
      <c r="B34" s="164" t="s">
        <v>529</v>
      </c>
      <c r="C34" s="164"/>
      <c r="D34" s="164"/>
      <c r="E34" s="199"/>
      <c r="F34" s="200"/>
      <c r="G34" s="201">
        <f t="shared" si="1"/>
        <v>0</v>
      </c>
      <c r="H34" s="202"/>
      <c r="I34" s="193">
        <f t="shared" si="0"/>
        <v>0</v>
      </c>
      <c r="N34" s="155"/>
      <c r="O34" s="155"/>
      <c r="P34" s="155"/>
      <c r="W34" s="195"/>
    </row>
    <row r="35" spans="2:24">
      <c r="B35" s="164" t="s">
        <v>600</v>
      </c>
      <c r="C35" s="164"/>
      <c r="D35" s="164"/>
      <c r="E35" s="199"/>
      <c r="F35" s="200"/>
      <c r="G35" s="201">
        <f t="shared" si="1"/>
        <v>0</v>
      </c>
      <c r="H35" s="202"/>
      <c r="I35" s="193">
        <f t="shared" si="0"/>
        <v>0</v>
      </c>
      <c r="N35" s="155"/>
      <c r="O35" s="155"/>
      <c r="P35" s="155"/>
      <c r="W35" s="195"/>
    </row>
    <row r="36" spans="2:24">
      <c r="B36" s="164" t="s">
        <v>601</v>
      </c>
      <c r="C36" s="164"/>
      <c r="D36" s="164"/>
      <c r="E36" s="199"/>
      <c r="F36" s="200"/>
      <c r="G36" s="201">
        <f t="shared" si="1"/>
        <v>0</v>
      </c>
      <c r="H36" s="202"/>
      <c r="I36" s="193">
        <f t="shared" si="0"/>
        <v>0</v>
      </c>
      <c r="N36" s="155"/>
      <c r="O36" s="155"/>
      <c r="P36" s="155"/>
      <c r="W36" s="195"/>
    </row>
    <row r="37" spans="2:24">
      <c r="B37" s="164" t="s">
        <v>602</v>
      </c>
      <c r="C37" s="164"/>
      <c r="D37" s="164"/>
      <c r="E37" s="199"/>
      <c r="F37" s="200"/>
      <c r="G37" s="201">
        <f t="shared" si="1"/>
        <v>0</v>
      </c>
      <c r="H37" s="202"/>
      <c r="I37" s="193">
        <f t="shared" si="0"/>
        <v>0</v>
      </c>
      <c r="N37" s="155"/>
      <c r="O37" s="155"/>
      <c r="P37" s="155"/>
      <c r="W37" s="195"/>
    </row>
    <row r="38" spans="2:24">
      <c r="B38" s="164" t="s">
        <v>530</v>
      </c>
      <c r="C38" s="164"/>
      <c r="D38" s="164"/>
      <c r="E38" s="199">
        <v>3</v>
      </c>
      <c r="F38" s="200" t="s">
        <v>531</v>
      </c>
      <c r="G38" s="201">
        <f t="shared" si="1"/>
        <v>18</v>
      </c>
      <c r="H38" s="202"/>
      <c r="I38" s="193" t="str">
        <f t="shared" si="0"/>
        <v>tsp</v>
      </c>
      <c r="N38" s="155"/>
      <c r="O38" s="155"/>
      <c r="P38" s="155"/>
      <c r="W38" s="195"/>
      <c r="X38" s="208"/>
    </row>
    <row r="39" spans="2:24">
      <c r="B39" s="164" t="s">
        <v>532</v>
      </c>
      <c r="C39" s="164"/>
      <c r="D39" s="164"/>
      <c r="E39" s="209">
        <v>0</v>
      </c>
      <c r="F39" s="200"/>
      <c r="G39" s="201">
        <f t="shared" si="1"/>
        <v>0</v>
      </c>
      <c r="H39" s="202"/>
      <c r="I39" s="193">
        <f t="shared" si="0"/>
        <v>0</v>
      </c>
      <c r="N39" s="155"/>
      <c r="O39" s="155"/>
      <c r="P39" s="155"/>
      <c r="W39" s="195"/>
      <c r="X39" s="208"/>
    </row>
    <row r="40" spans="2:24">
      <c r="B40" s="164" t="s">
        <v>533</v>
      </c>
      <c r="C40" s="164"/>
      <c r="D40" s="164"/>
      <c r="E40" s="210">
        <v>0</v>
      </c>
      <c r="F40" s="200" t="s">
        <v>534</v>
      </c>
      <c r="G40" s="201">
        <f t="shared" ref="G39:G44" si="2">+E40*$G$25</f>
        <v>0</v>
      </c>
      <c r="H40" s="202"/>
      <c r="I40" s="193" t="str">
        <f t="shared" si="0"/>
        <v>Oz</v>
      </c>
      <c r="N40" s="155"/>
      <c r="O40" s="155"/>
      <c r="P40" s="155"/>
      <c r="W40" s="195"/>
      <c r="X40" s="211"/>
    </row>
    <row r="41" spans="2:24">
      <c r="B41" s="164" t="s">
        <v>535</v>
      </c>
      <c r="C41" s="164"/>
      <c r="D41" s="164"/>
      <c r="E41" s="209">
        <v>0</v>
      </c>
      <c r="F41" s="200" t="s">
        <v>536</v>
      </c>
      <c r="G41" s="201">
        <f t="shared" si="2"/>
        <v>0</v>
      </c>
      <c r="H41" s="202"/>
      <c r="I41" s="193" t="str">
        <f t="shared" si="0"/>
        <v>G</v>
      </c>
      <c r="N41" s="155"/>
      <c r="O41" s="155"/>
      <c r="P41" s="155"/>
      <c r="W41" s="195"/>
      <c r="X41" s="211"/>
    </row>
    <row r="42" spans="2:24">
      <c r="B42" s="164" t="s">
        <v>537</v>
      </c>
      <c r="C42" s="164"/>
      <c r="D42" s="164"/>
      <c r="E42" s="199">
        <v>0</v>
      </c>
      <c r="F42" s="200" t="s">
        <v>534</v>
      </c>
      <c r="G42" s="201">
        <f t="shared" si="2"/>
        <v>0</v>
      </c>
      <c r="H42" s="202"/>
      <c r="I42" s="193" t="str">
        <f t="shared" si="0"/>
        <v>Oz</v>
      </c>
      <c r="N42" s="155"/>
      <c r="O42" s="155"/>
      <c r="P42" s="155"/>
      <c r="W42" s="195"/>
      <c r="X42" s="208"/>
    </row>
    <row r="43" spans="2:24">
      <c r="B43" s="164" t="s">
        <v>538</v>
      </c>
      <c r="C43" s="164"/>
      <c r="D43" s="164" t="e">
        <f>+E44/D44</f>
        <v>#DIV/0!</v>
      </c>
      <c r="E43" s="199">
        <v>0</v>
      </c>
      <c r="F43" s="200" t="s">
        <v>539</v>
      </c>
      <c r="G43" s="201">
        <f t="shared" si="2"/>
        <v>0</v>
      </c>
      <c r="H43" s="202"/>
      <c r="I43" s="193" t="str">
        <f t="shared" si="0"/>
        <v>tables</v>
      </c>
      <c r="N43" s="155"/>
      <c r="O43" s="155"/>
      <c r="P43" s="155"/>
      <c r="W43" s="195"/>
      <c r="X43" s="211"/>
    </row>
    <row r="44" spans="2:24">
      <c r="B44" s="164" t="s">
        <v>540</v>
      </c>
      <c r="C44" s="164"/>
      <c r="D44" s="164" t="e">
        <f>+E44/E43</f>
        <v>#DIV/0!</v>
      </c>
      <c r="E44" s="199">
        <v>0</v>
      </c>
      <c r="F44" s="200" t="s">
        <v>536</v>
      </c>
      <c r="G44" s="201">
        <f t="shared" si="2"/>
        <v>0</v>
      </c>
      <c r="H44" s="202"/>
      <c r="I44" s="193" t="str">
        <f t="shared" si="0"/>
        <v>G</v>
      </c>
      <c r="N44" s="155"/>
      <c r="O44" s="155"/>
      <c r="P44" s="155"/>
      <c r="W44" s="195"/>
      <c r="X44" s="211"/>
    </row>
    <row r="45" spans="2:24">
      <c r="B45" s="155"/>
      <c r="C45" s="155"/>
      <c r="D45" s="155"/>
      <c r="E45" s="155"/>
      <c r="F45" s="155"/>
      <c r="G45" s="155"/>
      <c r="H45" s="155"/>
      <c r="I45" s="155"/>
      <c r="J45" s="155"/>
      <c r="K45" s="155"/>
    </row>
    <row r="46" spans="2:24" s="155" customFormat="1">
      <c r="B46" s="160" t="s">
        <v>541</v>
      </c>
      <c r="C46" s="157"/>
      <c r="D46" s="161" t="s">
        <v>488</v>
      </c>
      <c r="G46" s="213"/>
      <c r="H46" s="214"/>
      <c r="I46" s="177"/>
      <c r="J46" s="176"/>
      <c r="K46" s="176"/>
      <c r="L46" s="156"/>
      <c r="M46" s="215"/>
      <c r="Q46"/>
      <c r="R46"/>
    </row>
    <row r="47" spans="2:24" s="155" customFormat="1">
      <c r="B47" s="155" t="s">
        <v>491</v>
      </c>
      <c r="C47" s="216">
        <f>+H3</f>
        <v>5.3783328285398282</v>
      </c>
      <c r="G47" s="213"/>
      <c r="H47" s="214"/>
      <c r="I47" s="177"/>
      <c r="J47" s="176"/>
      <c r="K47" s="176"/>
      <c r="L47" s="156"/>
      <c r="M47" s="215"/>
      <c r="Q47"/>
      <c r="R47"/>
    </row>
    <row r="48" spans="2:24" s="155" customFormat="1">
      <c r="B48" s="157" t="s">
        <v>492</v>
      </c>
      <c r="C48" s="157"/>
      <c r="D48" s="163">
        <v>3.19</v>
      </c>
      <c r="G48" s="213"/>
      <c r="H48" s="214"/>
      <c r="I48" s="177"/>
      <c r="J48" s="176"/>
      <c r="K48" s="176"/>
      <c r="L48" s="156"/>
      <c r="M48" s="215"/>
      <c r="Q48"/>
      <c r="R48"/>
    </row>
    <row r="49" spans="2:23" s="155" customFormat="1">
      <c r="B49" s="164" t="s">
        <v>493</v>
      </c>
      <c r="C49" s="164"/>
      <c r="D49" s="163">
        <v>5</v>
      </c>
      <c r="G49" s="213"/>
      <c r="H49" s="214"/>
      <c r="I49" s="177"/>
      <c r="J49" s="176"/>
      <c r="K49" s="176"/>
      <c r="L49" s="156"/>
      <c r="M49" s="215"/>
      <c r="Q49"/>
      <c r="R49"/>
    </row>
    <row r="50" spans="2:23" s="155" customFormat="1">
      <c r="B50" s="164" t="s">
        <v>494</v>
      </c>
      <c r="C50" s="164"/>
      <c r="D50" s="166">
        <v>1.0880000000000001</v>
      </c>
      <c r="G50" s="213"/>
      <c r="H50" s="214"/>
      <c r="I50" s="177"/>
      <c r="J50" s="176"/>
      <c r="K50" s="176"/>
      <c r="L50" s="156"/>
      <c r="M50" s="215"/>
      <c r="Q50"/>
      <c r="R50"/>
    </row>
    <row r="51" spans="2:23" s="155" customFormat="1">
      <c r="B51" s="155" t="s">
        <v>495</v>
      </c>
      <c r="D51" s="167">
        <f>(((182.4601*D50-775.6821)*D50+1262.7794)*D50-669.5622)</f>
        <v>21.125576310067117</v>
      </c>
      <c r="G51" s="213"/>
      <c r="H51" s="214"/>
      <c r="I51" s="177"/>
      <c r="J51" s="176"/>
      <c r="K51" s="176"/>
      <c r="L51" s="156"/>
      <c r="M51" s="215"/>
      <c r="Q51"/>
      <c r="R51"/>
    </row>
    <row r="52" spans="2:23" s="155" customFormat="1">
      <c r="B52" s="155" t="s">
        <v>496</v>
      </c>
      <c r="D52" s="168">
        <f>((D50-0.99)/7.36)*10</f>
        <v>0.1331521739130436</v>
      </c>
      <c r="E52" s="156"/>
      <c r="G52" s="213"/>
      <c r="H52" s="214"/>
      <c r="I52" s="177"/>
      <c r="J52" s="176"/>
      <c r="K52" s="176"/>
      <c r="L52" s="156"/>
      <c r="M52" s="215"/>
      <c r="Q52"/>
      <c r="R52"/>
    </row>
    <row r="53" spans="2:23" s="155" customFormat="1">
      <c r="D53" s="168"/>
      <c r="E53" s="156"/>
      <c r="G53" s="213"/>
      <c r="H53" s="214"/>
      <c r="I53" s="177"/>
      <c r="J53" s="176"/>
      <c r="K53" s="176"/>
      <c r="L53" s="156"/>
      <c r="M53" s="215"/>
      <c r="Q53"/>
      <c r="R53"/>
    </row>
    <row r="54" spans="2:23" s="155" customFormat="1">
      <c r="D54" s="217" t="s">
        <v>475</v>
      </c>
      <c r="E54" s="156" t="str">
        <f>+E24</f>
        <v>Recipe</v>
      </c>
      <c r="F54" s="156" t="str">
        <f>+F24</f>
        <v>UOM</v>
      </c>
      <c r="G54" s="213"/>
      <c r="H54" s="177" t="str">
        <f>+H24</f>
        <v>Adjusts</v>
      </c>
      <c r="I54" s="177" t="str">
        <f>+I24</f>
        <v>UOM</v>
      </c>
      <c r="J54" s="176"/>
      <c r="K54" s="176"/>
      <c r="L54" s="156"/>
      <c r="M54" s="215"/>
      <c r="Q54"/>
      <c r="R54"/>
    </row>
    <row r="55" spans="2:23" ht="15" customHeight="1">
      <c r="B55" s="164" t="s">
        <v>112</v>
      </c>
      <c r="C55" s="164"/>
      <c r="D55" s="164"/>
      <c r="E55" s="218"/>
      <c r="F55" s="219"/>
      <c r="G55" s="201"/>
      <c r="H55" s="220"/>
      <c r="I55" s="221"/>
      <c r="N55" s="155"/>
      <c r="O55" s="155"/>
      <c r="P55" s="155"/>
      <c r="W55" s="195"/>
    </row>
    <row r="56" spans="2:23">
      <c r="B56" s="164" t="s">
        <v>542</v>
      </c>
      <c r="C56" s="164"/>
      <c r="D56" s="164"/>
      <c r="E56" s="199"/>
      <c r="F56" s="200"/>
      <c r="G56" s="201"/>
      <c r="H56" s="202"/>
      <c r="I56" s="203"/>
      <c r="N56" s="155"/>
      <c r="O56" s="155"/>
      <c r="P56" s="155"/>
      <c r="W56" s="195"/>
    </row>
    <row r="57" spans="2:23">
      <c r="B57" s="164" t="s">
        <v>543</v>
      </c>
      <c r="C57" s="164"/>
      <c r="D57" s="164"/>
      <c r="E57" s="199"/>
      <c r="F57" s="200"/>
      <c r="G57" s="201"/>
      <c r="H57" s="202"/>
      <c r="I57" s="203"/>
      <c r="N57" s="155"/>
      <c r="O57" s="155"/>
      <c r="P57" s="155"/>
      <c r="W57" s="195"/>
    </row>
    <row r="58" spans="2:23">
      <c r="B58" s="164" t="s">
        <v>544</v>
      </c>
      <c r="C58" s="164"/>
      <c r="D58" s="164"/>
      <c r="E58" s="199"/>
      <c r="F58" s="200"/>
      <c r="G58" s="201"/>
      <c r="H58" s="202"/>
      <c r="I58" s="203"/>
      <c r="N58" s="155"/>
      <c r="O58" s="155"/>
      <c r="P58" s="155"/>
    </row>
    <row r="59" spans="2:23">
      <c r="B59" s="164" t="s">
        <v>545</v>
      </c>
      <c r="C59" s="164"/>
      <c r="D59" s="164"/>
      <c r="E59" s="199"/>
      <c r="F59" s="200"/>
      <c r="G59" s="201"/>
      <c r="H59" s="202"/>
      <c r="I59" s="203"/>
      <c r="N59" s="155"/>
      <c r="O59" s="155"/>
      <c r="P59" s="155"/>
    </row>
    <row r="60" spans="2:23" s="155" customFormat="1">
      <c r="D60" s="168"/>
      <c r="E60" s="156"/>
      <c r="G60" s="213"/>
      <c r="H60" s="214"/>
      <c r="I60" s="177"/>
      <c r="J60" s="176"/>
      <c r="K60" s="176"/>
      <c r="L60" s="156"/>
      <c r="M60" s="215"/>
      <c r="Q60"/>
      <c r="R60"/>
    </row>
    <row r="61" spans="2:23" ht="33.6">
      <c r="B61" s="222" t="s">
        <v>546</v>
      </c>
      <c r="C61" s="223" t="s">
        <v>547</v>
      </c>
      <c r="D61" s="223" t="s">
        <v>548</v>
      </c>
      <c r="E61" s="223" t="s">
        <v>439</v>
      </c>
      <c r="F61" s="223" t="s">
        <v>549</v>
      </c>
      <c r="G61" s="223" t="s">
        <v>550</v>
      </c>
      <c r="H61" s="224"/>
      <c r="I61" s="177"/>
      <c r="J61" s="176"/>
      <c r="K61" s="176"/>
      <c r="N61" s="155"/>
      <c r="O61" s="155"/>
      <c r="P61" s="155"/>
      <c r="S61" s="208"/>
      <c r="T61" s="208"/>
      <c r="U61" s="208"/>
      <c r="V61" s="208"/>
      <c r="W61" s="208"/>
    </row>
    <row r="62" spans="2:23">
      <c r="B62" s="225" t="s">
        <v>551</v>
      </c>
      <c r="C62" s="226"/>
      <c r="D62" s="226"/>
      <c r="E62" s="226"/>
      <c r="F62" s="226"/>
      <c r="G62" s="226"/>
      <c r="H62" s="224"/>
      <c r="I62" s="177"/>
      <c r="J62" s="176"/>
      <c r="K62" s="176"/>
      <c r="N62" s="155"/>
      <c r="O62" s="155"/>
      <c r="P62" s="155"/>
      <c r="S62" s="208"/>
      <c r="T62" s="208"/>
      <c r="U62" s="208"/>
      <c r="V62" s="208"/>
      <c r="W62" s="208"/>
    </row>
    <row r="63" spans="2:23" ht="15" customHeight="1">
      <c r="B63" s="225" t="s">
        <v>552</v>
      </c>
      <c r="C63" s="227"/>
      <c r="D63" s="227"/>
      <c r="E63" s="227"/>
      <c r="F63" s="227"/>
      <c r="G63" s="227"/>
      <c r="H63" s="224"/>
      <c r="I63" s="177"/>
      <c r="J63" s="176"/>
      <c r="K63" s="176"/>
      <c r="N63" s="155"/>
      <c r="O63" s="155"/>
      <c r="P63" s="155"/>
      <c r="S63" s="208"/>
      <c r="T63" s="208"/>
      <c r="U63" s="208"/>
      <c r="V63" s="208"/>
      <c r="W63" s="208"/>
    </row>
    <row r="64" spans="2:23">
      <c r="B64" s="225" t="s">
        <v>3</v>
      </c>
      <c r="C64" s="228"/>
      <c r="D64" s="227"/>
      <c r="E64" s="227"/>
      <c r="F64" s="227"/>
      <c r="G64" s="227"/>
      <c r="H64" s="224"/>
      <c r="I64" s="177"/>
      <c r="J64" s="176"/>
      <c r="K64" s="176"/>
      <c r="N64" s="155"/>
      <c r="O64" s="155"/>
      <c r="P64" s="155"/>
      <c r="S64" s="208"/>
      <c r="T64" s="208"/>
      <c r="U64" s="208"/>
      <c r="V64" s="208"/>
      <c r="W64" s="208"/>
    </row>
    <row r="65" spans="1:25">
      <c r="B65" s="225" t="s">
        <v>553</v>
      </c>
      <c r="C65" s="227"/>
      <c r="D65" s="227"/>
      <c r="E65" s="227"/>
      <c r="F65" s="227"/>
      <c r="G65" s="227"/>
      <c r="H65" s="224"/>
      <c r="I65" s="177"/>
      <c r="J65" s="176"/>
      <c r="K65" s="176"/>
      <c r="N65" s="155"/>
      <c r="O65" s="155"/>
      <c r="P65" s="155"/>
      <c r="S65" s="208"/>
      <c r="T65" s="208"/>
      <c r="U65" s="208"/>
      <c r="V65" s="208"/>
      <c r="W65" s="208"/>
    </row>
    <row r="66" spans="1:25">
      <c r="B66" s="224"/>
      <c r="C66" s="224"/>
      <c r="D66" s="229"/>
      <c r="E66" s="224"/>
      <c r="F66" s="229"/>
      <c r="G66" s="229"/>
      <c r="H66" s="224"/>
      <c r="I66" s="177"/>
      <c r="J66" s="176"/>
      <c r="K66" s="176"/>
      <c r="N66" s="155"/>
      <c r="O66" s="155"/>
      <c r="P66" s="155"/>
      <c r="S66" s="208"/>
      <c r="T66" s="208"/>
      <c r="U66" s="208"/>
      <c r="V66" s="208"/>
      <c r="W66" s="208"/>
    </row>
    <row r="67" spans="1:25">
      <c r="B67" s="224"/>
      <c r="C67" s="224"/>
      <c r="D67" s="229"/>
      <c r="E67" s="224"/>
      <c r="F67" s="229"/>
      <c r="G67" s="229"/>
      <c r="H67" s="224"/>
      <c r="I67" s="177"/>
      <c r="J67" s="176"/>
      <c r="K67" s="176"/>
      <c r="N67" s="155"/>
      <c r="O67" s="155"/>
      <c r="P67" s="155"/>
      <c r="S67" s="208"/>
      <c r="T67" s="208"/>
      <c r="U67" s="208"/>
      <c r="V67" s="208"/>
      <c r="W67" s="208"/>
    </row>
    <row r="68" spans="1:25" ht="15" customHeight="1" thickBot="1">
      <c r="B68" s="223" t="s">
        <v>554</v>
      </c>
      <c r="C68" s="223"/>
      <c r="D68" s="223"/>
      <c r="E68" s="223"/>
      <c r="F68" s="223"/>
      <c r="G68" s="223"/>
      <c r="H68" s="223"/>
      <c r="I68" s="177"/>
      <c r="J68" s="176"/>
      <c r="K68" s="176"/>
      <c r="N68" s="155"/>
      <c r="O68" s="155"/>
      <c r="P68" s="155"/>
      <c r="S68" s="208"/>
      <c r="T68" s="208"/>
      <c r="U68" s="208"/>
      <c r="V68" s="208"/>
      <c r="W68" s="208"/>
    </row>
    <row r="69" spans="1:25" s="236" customFormat="1" ht="60" customHeight="1">
      <c r="A69" s="230"/>
      <c r="B69" s="231" t="s">
        <v>475</v>
      </c>
      <c r="C69" s="232" t="s">
        <v>555</v>
      </c>
      <c r="D69" s="232" t="s">
        <v>556</v>
      </c>
      <c r="E69" s="232" t="s">
        <v>557</v>
      </c>
      <c r="F69" s="232" t="s">
        <v>558</v>
      </c>
      <c r="G69" s="232" t="s">
        <v>559</v>
      </c>
      <c r="H69" s="232" t="s">
        <v>560</v>
      </c>
      <c r="I69" s="232" t="s">
        <v>561</v>
      </c>
      <c r="J69" s="232"/>
      <c r="K69" s="232" t="s">
        <v>5</v>
      </c>
      <c r="L69" s="232" t="s">
        <v>562</v>
      </c>
      <c r="M69" s="233" t="s">
        <v>563</v>
      </c>
      <c r="N69" s="233"/>
      <c r="O69" s="233"/>
      <c r="P69" s="234"/>
      <c r="Q69" s="235"/>
    </row>
    <row r="70" spans="1:25">
      <c r="B70" s="77"/>
      <c r="M70"/>
      <c r="N70"/>
      <c r="O70"/>
      <c r="P70" s="78"/>
      <c r="Q70" s="237"/>
      <c r="R70" s="208"/>
      <c r="S70" s="208"/>
      <c r="T70" s="208"/>
      <c r="U70" s="208"/>
      <c r="V70" s="208"/>
      <c r="W70" s="208"/>
      <c r="X70" s="208"/>
      <c r="Y70" s="208"/>
    </row>
    <row r="71" spans="1:25">
      <c r="B71" s="77"/>
      <c r="M71"/>
      <c r="N71"/>
      <c r="O71"/>
      <c r="P71" s="78"/>
      <c r="Q71" s="237"/>
      <c r="R71" s="208"/>
      <c r="S71" s="208"/>
      <c r="T71" s="208"/>
      <c r="U71" s="208"/>
      <c r="V71" s="208"/>
      <c r="W71" s="208"/>
      <c r="X71" s="208"/>
      <c r="Y71" s="208"/>
    </row>
    <row r="72" spans="1:25">
      <c r="B72" s="77"/>
      <c r="M72"/>
      <c r="N72"/>
      <c r="O72"/>
      <c r="P72" s="78"/>
      <c r="Q72" s="237"/>
      <c r="R72" s="208"/>
      <c r="S72" s="208"/>
      <c r="T72" s="208"/>
      <c r="U72" s="208"/>
      <c r="V72" s="208"/>
      <c r="W72" s="208"/>
      <c r="X72" s="208"/>
      <c r="Y72" s="208"/>
    </row>
    <row r="73" spans="1:25">
      <c r="B73" s="77"/>
      <c r="M73"/>
      <c r="N73"/>
      <c r="O73"/>
      <c r="P73" s="78"/>
      <c r="Q73" s="237"/>
      <c r="R73" s="208"/>
      <c r="S73" s="208"/>
      <c r="T73" s="208"/>
      <c r="U73" s="208"/>
      <c r="V73" s="208"/>
      <c r="W73" s="208"/>
      <c r="X73" s="208"/>
      <c r="Y73" s="208"/>
    </row>
    <row r="74" spans="1:25">
      <c r="B74" s="77"/>
      <c r="M74"/>
      <c r="N74"/>
      <c r="O74"/>
      <c r="P74" s="78"/>
      <c r="Q74" s="237"/>
      <c r="R74" s="208"/>
      <c r="S74" s="208"/>
      <c r="T74" s="208"/>
      <c r="U74" s="208"/>
      <c r="V74" s="208"/>
      <c r="W74" s="208"/>
      <c r="X74" s="208"/>
      <c r="Y74" s="208"/>
    </row>
    <row r="75" spans="1:25">
      <c r="B75" s="77"/>
      <c r="M75"/>
      <c r="N75"/>
      <c r="O75"/>
      <c r="P75" s="78"/>
      <c r="Q75" s="237"/>
      <c r="R75" s="208"/>
      <c r="S75" s="208"/>
      <c r="T75" s="208"/>
      <c r="U75" s="208"/>
      <c r="V75" s="208"/>
      <c r="W75" s="208"/>
      <c r="X75" s="208"/>
      <c r="Y75" s="208"/>
    </row>
    <row r="76" spans="1:25">
      <c r="B76" s="77"/>
      <c r="M76"/>
      <c r="N76"/>
      <c r="O76"/>
      <c r="P76" s="78"/>
      <c r="Q76" s="237"/>
      <c r="R76" s="208"/>
      <c r="S76" s="208"/>
      <c r="T76" s="208"/>
      <c r="U76" s="208"/>
      <c r="V76" s="208"/>
      <c r="W76" s="208"/>
      <c r="X76" s="208"/>
      <c r="Y76" s="208"/>
    </row>
    <row r="77" spans="1:25">
      <c r="B77" s="77"/>
      <c r="M77"/>
      <c r="N77"/>
      <c r="O77"/>
      <c r="P77" s="78"/>
      <c r="Q77" s="237"/>
      <c r="R77" s="208"/>
      <c r="S77" s="208"/>
      <c r="T77" s="208"/>
      <c r="U77" s="208"/>
      <c r="V77" s="208"/>
      <c r="W77" s="208"/>
      <c r="X77" s="208"/>
      <c r="Y77" s="208"/>
    </row>
    <row r="78" spans="1:25">
      <c r="B78" s="77"/>
      <c r="M78"/>
      <c r="N78"/>
      <c r="O78"/>
      <c r="P78" s="78"/>
      <c r="Q78" s="237"/>
      <c r="R78" s="208"/>
      <c r="S78" s="208"/>
      <c r="T78" s="208"/>
      <c r="U78" s="208"/>
      <c r="V78" s="208"/>
      <c r="W78" s="208"/>
      <c r="X78" s="208"/>
      <c r="Y78" s="208"/>
    </row>
    <row r="79" spans="1:25">
      <c r="B79" s="77"/>
      <c r="M79"/>
      <c r="N79"/>
      <c r="O79"/>
      <c r="P79" s="78"/>
      <c r="Q79" s="237"/>
      <c r="R79" s="208"/>
      <c r="S79" s="208"/>
      <c r="T79" s="208"/>
      <c r="U79" s="208"/>
      <c r="V79" s="208"/>
      <c r="W79" s="208"/>
      <c r="X79" s="208"/>
      <c r="Y79" s="208"/>
    </row>
    <row r="80" spans="1:25">
      <c r="B80" s="77"/>
      <c r="M80"/>
      <c r="N80"/>
      <c r="O80"/>
      <c r="P80" s="78"/>
      <c r="Q80" s="237"/>
      <c r="R80" s="208"/>
      <c r="S80" s="208"/>
      <c r="T80" s="208"/>
      <c r="U80" s="208"/>
      <c r="V80" s="208"/>
      <c r="W80" s="208"/>
      <c r="X80" s="208"/>
      <c r="Y80" s="208"/>
    </row>
    <row r="81" spans="2:29" ht="15" customHeight="1">
      <c r="B81" s="77"/>
      <c r="M81"/>
      <c r="N81"/>
      <c r="O81"/>
      <c r="P81" s="78"/>
      <c r="Q81" s="237"/>
      <c r="R81" s="208"/>
      <c r="S81" s="208"/>
      <c r="T81" s="208"/>
      <c r="U81" s="208"/>
      <c r="V81" s="208"/>
      <c r="W81" s="208"/>
      <c r="X81" s="208"/>
      <c r="Y81" s="208"/>
    </row>
    <row r="82" spans="2:29" ht="15" thickBot="1">
      <c r="B82" s="77"/>
      <c r="M82"/>
      <c r="N82"/>
      <c r="O82"/>
      <c r="P82" s="78"/>
      <c r="Q82" s="237"/>
      <c r="R82" s="208"/>
      <c r="S82" s="208"/>
      <c r="T82" s="208"/>
      <c r="U82" s="208"/>
      <c r="V82" s="208"/>
      <c r="W82" s="208"/>
      <c r="X82" s="208"/>
      <c r="Y82" s="208"/>
    </row>
    <row r="83" spans="2:29" ht="15" thickBot="1">
      <c r="B83" s="77"/>
      <c r="D83" s="238" t="s">
        <v>564</v>
      </c>
      <c r="E83" s="239"/>
      <c r="F83" s="240"/>
      <c r="M83" s="241"/>
      <c r="N83" s="242"/>
      <c r="O83" s="242"/>
      <c r="P83" s="78"/>
      <c r="Q83" s="237"/>
      <c r="R83" s="208"/>
      <c r="S83" s="208"/>
      <c r="T83" s="208"/>
      <c r="U83" s="208"/>
      <c r="V83" s="208"/>
      <c r="W83" s="208"/>
      <c r="X83" s="208"/>
      <c r="Y83" s="208"/>
    </row>
    <row r="84" spans="2:29" ht="15" customHeight="1">
      <c r="B84" s="77"/>
      <c r="D84" s="243" t="s">
        <v>9</v>
      </c>
      <c r="E84" s="244"/>
      <c r="F84" s="245">
        <v>22.5</v>
      </c>
      <c r="M84" s="241"/>
      <c r="N84" s="242"/>
      <c r="O84" s="242"/>
      <c r="P84" s="78"/>
      <c r="Q84" s="237"/>
      <c r="R84" s="208"/>
      <c r="S84" s="208"/>
      <c r="T84" s="208"/>
      <c r="U84" s="208"/>
      <c r="V84" s="208"/>
      <c r="W84" s="208"/>
      <c r="X84" s="208"/>
      <c r="Y84" s="208"/>
      <c r="Z84" s="246"/>
      <c r="AA84" s="246"/>
      <c r="AB84" s="246"/>
      <c r="AC84" s="246"/>
    </row>
    <row r="85" spans="2:29" ht="15" thickBot="1">
      <c r="B85" s="77"/>
      <c r="D85" s="247" t="s">
        <v>565</v>
      </c>
      <c r="E85" s="248"/>
      <c r="F85" s="249">
        <f>(F84/(258.6-((F84/258.2)*227.1)))+1</f>
        <v>1.0942171173016491</v>
      </c>
      <c r="M85" s="241"/>
      <c r="N85" s="242"/>
      <c r="O85" s="242"/>
      <c r="P85" s="78"/>
      <c r="Q85" s="237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</row>
    <row r="86" spans="2:29">
      <c r="B86" s="77"/>
      <c r="D86" s="238" t="s">
        <v>566</v>
      </c>
      <c r="E86" s="239"/>
      <c r="F86" s="240"/>
      <c r="M86" s="241"/>
      <c r="N86" s="242"/>
      <c r="O86" s="242"/>
      <c r="P86" s="78"/>
      <c r="Q86" s="237"/>
      <c r="R86" s="208"/>
      <c r="S86" s="208"/>
      <c r="T86" s="208"/>
      <c r="U86" s="208"/>
      <c r="V86" s="208"/>
      <c r="W86" s="208"/>
      <c r="Z86" s="208"/>
      <c r="AA86" s="208"/>
      <c r="AB86" s="208"/>
      <c r="AC86" s="208"/>
    </row>
    <row r="87" spans="2:29">
      <c r="B87" s="77"/>
      <c r="D87" s="243" t="s">
        <v>567</v>
      </c>
      <c r="E87" s="244"/>
      <c r="F87" s="245">
        <v>1.002</v>
      </c>
      <c r="M87" s="241"/>
      <c r="N87" s="242"/>
      <c r="O87" s="242"/>
      <c r="P87" s="78"/>
      <c r="Q87" s="237"/>
      <c r="R87" s="208"/>
      <c r="S87" s="208"/>
      <c r="T87" s="208"/>
      <c r="U87" s="208"/>
      <c r="V87" s="208"/>
      <c r="W87" s="208"/>
      <c r="Z87" s="208"/>
      <c r="AA87" s="208"/>
      <c r="AB87" s="208"/>
      <c r="AC87" s="208"/>
    </row>
    <row r="88" spans="2:29" ht="15" thickBot="1">
      <c r="B88" s="77"/>
      <c r="D88" s="247" t="s">
        <v>568</v>
      </c>
      <c r="E88" s="248"/>
      <c r="F88" s="250">
        <f xml:space="preserve"> (((182.4601*F87-775.6821)*F87+1262.7794)*F87-669.5622)</f>
        <v>0.51187925248075317</v>
      </c>
      <c r="M88" s="241"/>
      <c r="N88" s="242"/>
      <c r="O88" s="242"/>
      <c r="P88" s="78"/>
      <c r="Q88" s="237"/>
      <c r="R88" s="208"/>
      <c r="S88" s="208"/>
      <c r="T88" s="208"/>
      <c r="U88" s="208"/>
      <c r="V88" s="208"/>
      <c r="W88" s="208"/>
      <c r="Z88" s="208"/>
      <c r="AA88" s="208"/>
      <c r="AB88" s="208"/>
      <c r="AC88" s="208"/>
    </row>
    <row r="89" spans="2:29" ht="15" customHeight="1">
      <c r="B89" s="77"/>
      <c r="M89" s="241"/>
      <c r="N89" s="242"/>
      <c r="O89" s="242"/>
      <c r="P89" s="78"/>
      <c r="Q89" s="237"/>
      <c r="R89" s="208"/>
      <c r="S89" s="208"/>
      <c r="T89" s="208"/>
      <c r="U89" s="208"/>
      <c r="V89" s="208"/>
      <c r="W89" s="208"/>
      <c r="Z89" s="208"/>
      <c r="AA89" s="208"/>
      <c r="AB89" s="208"/>
      <c r="AC89" s="208"/>
    </row>
    <row r="90" spans="2:29" ht="15" customHeight="1">
      <c r="B90" s="77"/>
      <c r="L90" s="251"/>
      <c r="M90" s="241"/>
      <c r="N90" s="242"/>
      <c r="O90" s="242"/>
      <c r="P90" s="78"/>
      <c r="Q90" s="237"/>
      <c r="R90" s="208"/>
      <c r="S90" s="208"/>
      <c r="T90" s="208"/>
      <c r="U90" s="208"/>
      <c r="V90" s="208"/>
      <c r="W90" s="208"/>
      <c r="Z90" s="208"/>
      <c r="AA90" s="208"/>
      <c r="AB90" s="208"/>
      <c r="AC90" s="208"/>
    </row>
    <row r="91" spans="2:29" ht="15" customHeight="1" thickBot="1">
      <c r="B91" s="80"/>
      <c r="C91" s="81"/>
      <c r="D91" s="81"/>
      <c r="E91" s="81"/>
      <c r="F91" s="81"/>
      <c r="G91" s="81"/>
      <c r="H91" s="81"/>
      <c r="I91" s="81"/>
      <c r="J91" s="81"/>
      <c r="K91" s="81"/>
      <c r="L91" s="252"/>
      <c r="M91" s="253"/>
      <c r="N91" s="254"/>
      <c r="O91" s="254"/>
      <c r="P91" s="82"/>
      <c r="Q91" s="237"/>
      <c r="R91" s="208"/>
      <c r="S91" s="208"/>
      <c r="T91" s="208"/>
      <c r="U91" s="208"/>
      <c r="V91" s="208"/>
      <c r="W91" s="208"/>
      <c r="Z91" s="208"/>
      <c r="AA91" s="208"/>
      <c r="AB91" s="208"/>
      <c r="AC91" s="208"/>
    </row>
    <row r="92" spans="2:29" s="155" customFormat="1" ht="15" customHeight="1">
      <c r="L92" s="255"/>
      <c r="M92" s="215"/>
      <c r="N92" s="256"/>
      <c r="O92" s="256"/>
      <c r="P92" s="257"/>
      <c r="Q92" s="257"/>
      <c r="R92" s="257"/>
      <c r="S92" s="257"/>
      <c r="T92" s="257"/>
      <c r="U92" s="257"/>
      <c r="V92" s="257"/>
      <c r="W92" s="257"/>
      <c r="Z92" s="257"/>
      <c r="AA92" s="257"/>
      <c r="AB92" s="257"/>
      <c r="AC92" s="257"/>
    </row>
    <row r="93" spans="2:29" s="155" customFormat="1"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5"/>
      <c r="M93" s="215"/>
      <c r="N93" s="256"/>
      <c r="O93" s="256"/>
      <c r="P93" s="257"/>
      <c r="Q93" s="257"/>
      <c r="R93" s="257"/>
      <c r="S93" s="257"/>
      <c r="T93" s="257"/>
      <c r="U93" s="257"/>
      <c r="V93" s="257"/>
      <c r="W93" s="257"/>
      <c r="Z93" s="257"/>
      <c r="AA93" s="257"/>
      <c r="AB93" s="257"/>
      <c r="AC93" s="257"/>
    </row>
    <row r="94" spans="2:29" s="155" customFormat="1"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5"/>
      <c r="M94" s="215"/>
      <c r="N94" s="256"/>
      <c r="O94" s="256"/>
      <c r="P94" s="257"/>
      <c r="Q94" s="257"/>
      <c r="R94" s="257"/>
      <c r="S94" s="257"/>
      <c r="T94" s="257"/>
      <c r="U94" s="257"/>
      <c r="V94" s="257"/>
      <c r="W94" s="257"/>
      <c r="Z94" s="257"/>
      <c r="AA94" s="257"/>
      <c r="AB94" s="257"/>
      <c r="AC94" s="257"/>
    </row>
    <row r="95" spans="2:29">
      <c r="B95" s="259" t="s">
        <v>569</v>
      </c>
      <c r="C95" s="211"/>
      <c r="D95" s="211"/>
      <c r="E95" s="211"/>
      <c r="F95" s="211"/>
      <c r="G95" s="211"/>
      <c r="H95" s="211"/>
      <c r="I95" s="211"/>
      <c r="J95" s="211"/>
      <c r="K95" s="211"/>
      <c r="L95" s="251"/>
      <c r="P95" s="208"/>
      <c r="Q95" s="208"/>
      <c r="R95" s="208"/>
      <c r="S95" s="208"/>
      <c r="T95" s="208"/>
      <c r="U95" s="208"/>
      <c r="V95" s="208"/>
      <c r="W95" s="208"/>
      <c r="Z95" s="208"/>
      <c r="AA95" s="208"/>
      <c r="AB95" s="208"/>
      <c r="AC95" s="208"/>
    </row>
    <row r="96" spans="2:29">
      <c r="B96" s="260" t="s">
        <v>570</v>
      </c>
      <c r="C96" s="261"/>
      <c r="D96" s="262"/>
      <c r="E96" s="211"/>
      <c r="F96" s="211"/>
      <c r="G96" s="211"/>
      <c r="H96" s="211"/>
      <c r="I96" s="211"/>
      <c r="J96" s="211"/>
      <c r="K96" s="211"/>
      <c r="L96" s="251"/>
      <c r="P96" s="208"/>
      <c r="Q96" s="208"/>
      <c r="R96" s="208"/>
      <c r="S96" s="208"/>
      <c r="T96" s="208"/>
      <c r="U96" s="208"/>
      <c r="V96" s="208"/>
      <c r="W96" s="208"/>
      <c r="Z96" s="208"/>
      <c r="AA96" s="208"/>
      <c r="AB96" s="208"/>
      <c r="AC96" s="208"/>
    </row>
    <row r="97" spans="1:33">
      <c r="B97" s="260"/>
      <c r="C97" s="211"/>
      <c r="D97" s="263"/>
      <c r="E97" s="264" t="s">
        <v>571</v>
      </c>
      <c r="F97" s="265">
        <v>1.90000000000001E-3</v>
      </c>
      <c r="G97" s="265">
        <f>+G103-G102</f>
        <v>0.26404776785829909</v>
      </c>
      <c r="H97" s="211"/>
      <c r="I97" s="211"/>
      <c r="J97" s="211"/>
      <c r="K97" s="211"/>
      <c r="L97" s="251"/>
      <c r="P97" s="208"/>
      <c r="Q97" s="208"/>
      <c r="R97" s="208"/>
      <c r="S97" s="208"/>
      <c r="T97" s="208"/>
      <c r="U97" s="208"/>
      <c r="V97" s="208"/>
      <c r="W97" s="208"/>
      <c r="Z97" s="208"/>
      <c r="AA97" s="208"/>
      <c r="AB97" s="208"/>
      <c r="AC97" s="208"/>
    </row>
    <row r="98" spans="1:33">
      <c r="D98" s="263"/>
      <c r="E98" s="264"/>
      <c r="F98" s="265"/>
      <c r="G98" s="265">
        <v>0.99</v>
      </c>
      <c r="L98" s="251"/>
      <c r="P98" s="208"/>
      <c r="Q98" s="208"/>
      <c r="R98" s="208"/>
      <c r="S98" s="208"/>
      <c r="T98" s="208"/>
      <c r="U98" s="208"/>
      <c r="V98" s="208"/>
      <c r="W98" s="208"/>
      <c r="Z98" s="208"/>
      <c r="AA98" s="208"/>
      <c r="AB98" s="208"/>
      <c r="AC98" s="208"/>
    </row>
    <row r="99" spans="1:33">
      <c r="D99" s="263"/>
      <c r="E99" s="264" t="s">
        <v>572</v>
      </c>
      <c r="F99" s="265" t="s">
        <v>573</v>
      </c>
      <c r="G99" s="265" t="s">
        <v>574</v>
      </c>
      <c r="L99" s="251"/>
      <c r="P99" s="208"/>
      <c r="Q99" s="208"/>
      <c r="R99" s="208"/>
      <c r="S99" s="208"/>
      <c r="T99" s="208"/>
      <c r="U99" s="208"/>
      <c r="V99" s="208"/>
      <c r="W99" s="208"/>
      <c r="Z99" s="208"/>
      <c r="AA99" s="208"/>
      <c r="AB99" s="208"/>
      <c r="AC99" s="208"/>
    </row>
    <row r="100" spans="1:33">
      <c r="D100" s="263"/>
      <c r="E100" s="264" t="s">
        <v>571</v>
      </c>
      <c r="F100" s="265"/>
      <c r="G100" s="265" t="s">
        <v>575</v>
      </c>
      <c r="L100" s="251"/>
      <c r="P100" s="208"/>
      <c r="Q100" s="208"/>
      <c r="R100" s="208"/>
      <c r="S100" s="208"/>
      <c r="T100" s="208"/>
      <c r="U100" s="208"/>
      <c r="V100" s="208"/>
      <c r="W100" s="208"/>
      <c r="Z100" s="208"/>
      <c r="AA100" s="208"/>
      <c r="AB100" s="208"/>
      <c r="AC100" s="208"/>
    </row>
    <row r="101" spans="1:33" ht="15" thickBot="1">
      <c r="D101" s="266" t="s">
        <v>159</v>
      </c>
      <c r="E101" s="267">
        <v>0</v>
      </c>
      <c r="F101" s="212">
        <f>(E101/(258.6-((E101/258.2)*227.1)))+1</f>
        <v>1</v>
      </c>
      <c r="G101" s="212">
        <f>((F101-1)/7.36*1000)</f>
        <v>0</v>
      </c>
      <c r="L101" s="251"/>
      <c r="P101" s="208"/>
      <c r="Q101" s="208"/>
      <c r="R101" s="208"/>
      <c r="S101" s="208"/>
      <c r="T101" s="208"/>
      <c r="U101" s="208"/>
      <c r="V101" s="208"/>
      <c r="W101" s="208"/>
      <c r="Z101" s="268"/>
      <c r="AA101" s="268"/>
      <c r="AB101" s="268"/>
      <c r="AC101" s="268"/>
    </row>
    <row r="102" spans="1:33" ht="15" customHeight="1" thickBot="1">
      <c r="D102" s="266" t="s">
        <v>159</v>
      </c>
      <c r="E102" s="267">
        <v>0.5</v>
      </c>
      <c r="F102" s="212">
        <f>(E102/(258.6-((E102/258.2)*227.1)))+1</f>
        <v>1.001936781704899</v>
      </c>
      <c r="G102" s="212">
        <f>((F102-0.99)/7.36*1000)</f>
        <v>1.6218453403395352</v>
      </c>
      <c r="L102" s="251"/>
      <c r="P102" s="208"/>
      <c r="Q102" s="208"/>
      <c r="R102" s="208"/>
      <c r="S102" s="208"/>
      <c r="T102" s="208"/>
      <c r="U102" s="208"/>
      <c r="V102" s="208"/>
      <c r="W102" s="208"/>
      <c r="Z102" s="246"/>
      <c r="AA102" s="246"/>
      <c r="AB102" s="246"/>
      <c r="AC102" s="246"/>
      <c r="AD102" s="246"/>
      <c r="AE102" s="246"/>
      <c r="AF102" s="246"/>
      <c r="AG102" s="269"/>
    </row>
    <row r="103" spans="1:33">
      <c r="D103" s="266" t="s">
        <v>576</v>
      </c>
      <c r="E103" s="267">
        <v>1</v>
      </c>
      <c r="F103" s="212">
        <f t="shared" ref="F103:F158" si="3">(E103/(258.6-((E103/258.2)*227.1)))+1</f>
        <v>1.0038801732763361</v>
      </c>
      <c r="G103" s="212">
        <f t="shared" ref="G103:G121" si="4">((F103-0.99)/7.36*1000)</f>
        <v>1.8858931081978343</v>
      </c>
      <c r="L103" s="251"/>
      <c r="P103" s="208"/>
      <c r="Q103" s="208"/>
      <c r="R103" s="208"/>
      <c r="S103" s="208"/>
      <c r="T103" s="208"/>
      <c r="U103" s="208"/>
      <c r="V103" s="208"/>
      <c r="W103" s="208"/>
      <c r="X103" s="246"/>
      <c r="Y103" s="246"/>
      <c r="Z103" s="208"/>
      <c r="AA103" s="208"/>
      <c r="AB103" s="208"/>
      <c r="AC103" s="208"/>
      <c r="AD103" s="208"/>
      <c r="AE103" s="208"/>
      <c r="AF103" s="208"/>
      <c r="AG103" s="270"/>
    </row>
    <row r="104" spans="1:33">
      <c r="D104" s="266" t="s">
        <v>576</v>
      </c>
      <c r="E104" s="267">
        <v>1.5</v>
      </c>
      <c r="F104" s="212">
        <f t="shared" si="3"/>
        <v>1.0058302086094704</v>
      </c>
      <c r="G104" s="212">
        <f t="shared" si="4"/>
        <v>2.1508435610693444</v>
      </c>
      <c r="L104" s="251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70"/>
    </row>
    <row r="105" spans="1:33">
      <c r="D105" s="266" t="s">
        <v>576</v>
      </c>
      <c r="E105" s="267">
        <v>2</v>
      </c>
      <c r="F105" s="212">
        <f t="shared" si="3"/>
        <v>1.0077869218316096</v>
      </c>
      <c r="G105" s="212">
        <f t="shared" si="4"/>
        <v>2.4167013358165175</v>
      </c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70"/>
    </row>
    <row r="106" spans="1:33">
      <c r="D106" s="266" t="s">
        <v>576</v>
      </c>
      <c r="E106" s="267">
        <f>+E105+0.5</f>
        <v>2.5</v>
      </c>
      <c r="F106" s="212">
        <f t="shared" si="3"/>
        <v>1.0097503473041989</v>
      </c>
      <c r="G106" s="212">
        <f t="shared" si="4"/>
        <v>2.6834711011139794</v>
      </c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70"/>
    </row>
    <row r="107" spans="1:33">
      <c r="D107" s="266" t="s">
        <v>577</v>
      </c>
      <c r="E107" s="267">
        <f>+E106+0.5</f>
        <v>3</v>
      </c>
      <c r="F107" s="212">
        <f t="shared" si="3"/>
        <v>1.0117205196248344</v>
      </c>
      <c r="G107" s="212">
        <f t="shared" si="4"/>
        <v>2.9511575577220728</v>
      </c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70"/>
    </row>
    <row r="108" spans="1:33">
      <c r="D108" s="266" t="s">
        <v>577</v>
      </c>
      <c r="E108" s="267">
        <f>+E107+0.5</f>
        <v>3.5</v>
      </c>
      <c r="F108" s="212">
        <f t="shared" si="3"/>
        <v>1.0136974736292939</v>
      </c>
      <c r="G108" s="212">
        <f t="shared" si="4"/>
        <v>3.219765438762753</v>
      </c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70"/>
    </row>
    <row r="109" spans="1:33" ht="15" thickBot="1">
      <c r="D109" s="266" t="s">
        <v>577</v>
      </c>
      <c r="E109" s="267">
        <f t="shared" ref="E109:E158" si="5">+E108+0.5</f>
        <v>4</v>
      </c>
      <c r="F109" s="212">
        <f t="shared" si="3"/>
        <v>1.0156812443935908</v>
      </c>
      <c r="G109" s="212">
        <f t="shared" si="4"/>
        <v>3.4892995099987449</v>
      </c>
      <c r="L109" s="271"/>
      <c r="P109" s="26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70"/>
    </row>
    <row r="110" spans="1:33">
      <c r="D110" s="266"/>
      <c r="E110" s="267">
        <f t="shared" si="5"/>
        <v>4.5</v>
      </c>
      <c r="F110" s="212">
        <f t="shared" si="3"/>
        <v>1.0176718672360479</v>
      </c>
      <c r="G110" s="212">
        <f t="shared" si="4"/>
        <v>3.7597645701151987</v>
      </c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70"/>
    </row>
    <row r="111" spans="1:33" s="272" customFormat="1">
      <c r="A111" s="189"/>
      <c r="B111"/>
      <c r="C111"/>
      <c r="D111" s="266"/>
      <c r="E111" s="267">
        <f t="shared" si="5"/>
        <v>5</v>
      </c>
      <c r="F111" s="212">
        <f t="shared" si="3"/>
        <v>1.0196693777193944</v>
      </c>
      <c r="G111" s="212">
        <f t="shared" si="4"/>
        <v>4.0311654510046697</v>
      </c>
      <c r="H111"/>
      <c r="I111"/>
      <c r="J111"/>
      <c r="K111"/>
      <c r="L111" s="84"/>
      <c r="M111" s="194"/>
      <c r="N111" s="212"/>
      <c r="O111" s="212"/>
      <c r="P111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70"/>
    </row>
    <row r="112" spans="1:33">
      <c r="D112" s="266"/>
      <c r="E112" s="267">
        <f t="shared" si="5"/>
        <v>5.5</v>
      </c>
      <c r="F112" s="212">
        <f t="shared" si="3"/>
        <v>1.0216738116528827</v>
      </c>
      <c r="G112" s="212">
        <f t="shared" si="4"/>
        <v>4.303507018054721</v>
      </c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70"/>
    </row>
    <row r="113" spans="1:33">
      <c r="D113" s="266"/>
      <c r="E113" s="267">
        <f t="shared" si="5"/>
        <v>6</v>
      </c>
      <c r="F113" s="212">
        <f t="shared" si="3"/>
        <v>1.023685205094429</v>
      </c>
      <c r="G113" s="212">
        <f t="shared" si="4"/>
        <v>4.5767941704387169</v>
      </c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70"/>
    </row>
    <row r="114" spans="1:33">
      <c r="D114" s="266"/>
      <c r="E114" s="267">
        <f t="shared" si="5"/>
        <v>6.5</v>
      </c>
      <c r="F114" s="212">
        <f t="shared" si="3"/>
        <v>1.025703594352775</v>
      </c>
      <c r="G114" s="212">
        <f t="shared" si="4"/>
        <v>4.8510318414096512</v>
      </c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70"/>
    </row>
    <row r="115" spans="1:33">
      <c r="D115" s="266"/>
      <c r="E115" s="267">
        <f t="shared" si="5"/>
        <v>7</v>
      </c>
      <c r="F115" s="212">
        <f t="shared" si="3"/>
        <v>1.027729015989673</v>
      </c>
      <c r="G115" s="212">
        <f t="shared" si="4"/>
        <v>5.1262249985968813</v>
      </c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70"/>
    </row>
    <row r="116" spans="1:33">
      <c r="D116" s="266"/>
      <c r="E116" s="267">
        <f t="shared" si="5"/>
        <v>7.5</v>
      </c>
      <c r="F116" s="212">
        <f t="shared" si="3"/>
        <v>1.0297615068220936</v>
      </c>
      <c r="G116" s="212">
        <f t="shared" si="4"/>
        <v>5.4023786443061903</v>
      </c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70"/>
    </row>
    <row r="117" spans="1:33">
      <c r="D117" s="266"/>
      <c r="E117" s="267">
        <f t="shared" si="5"/>
        <v>8</v>
      </c>
      <c r="F117" s="212">
        <f t="shared" si="3"/>
        <v>1.0318011039244557</v>
      </c>
      <c r="G117" s="212">
        <f t="shared" si="4"/>
        <v>5.6794978158227831</v>
      </c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70"/>
    </row>
    <row r="118" spans="1:33">
      <c r="D118" s="266"/>
      <c r="E118" s="267">
        <f t="shared" si="5"/>
        <v>8.5</v>
      </c>
      <c r="F118" s="212">
        <f t="shared" si="3"/>
        <v>1.0338478446308823</v>
      </c>
      <c r="G118" s="212">
        <f t="shared" si="4"/>
        <v>5.9575875857177056</v>
      </c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70"/>
    </row>
    <row r="119" spans="1:33" ht="15" thickBot="1">
      <c r="D119" s="266"/>
      <c r="E119" s="267">
        <f t="shared" si="5"/>
        <v>9</v>
      </c>
      <c r="F119" s="212">
        <f t="shared" si="3"/>
        <v>1.0359017665374772</v>
      </c>
      <c r="G119" s="212">
        <f t="shared" si="4"/>
        <v>6.2366530621572336</v>
      </c>
      <c r="P119" s="272"/>
      <c r="Q119" s="208"/>
      <c r="R119" s="208"/>
      <c r="S119" s="208"/>
      <c r="T119" s="208"/>
      <c r="U119" s="208"/>
      <c r="V119" s="208"/>
      <c r="W119" s="208"/>
      <c r="X119" s="268"/>
      <c r="Y119" s="268"/>
      <c r="Z119" s="208"/>
      <c r="AA119" s="208"/>
      <c r="AB119" s="208"/>
      <c r="AC119" s="208"/>
      <c r="AD119" s="208"/>
      <c r="AE119" s="208"/>
      <c r="AF119" s="208"/>
      <c r="AG119" s="270"/>
    </row>
    <row r="120" spans="1:33">
      <c r="D120" s="266"/>
      <c r="E120" s="267">
        <f t="shared" si="5"/>
        <v>9.5</v>
      </c>
      <c r="F120" s="212">
        <f t="shared" si="3"/>
        <v>1.0379629075046271</v>
      </c>
      <c r="G120" s="212">
        <f t="shared" si="4"/>
        <v>6.5166993892156331</v>
      </c>
      <c r="Q120" s="208"/>
      <c r="R120" s="208"/>
      <c r="S120" s="208"/>
      <c r="T120" s="208"/>
      <c r="U120" s="208"/>
      <c r="V120" s="208"/>
      <c r="W120" s="208"/>
      <c r="X120" s="246"/>
      <c r="Y120" s="246"/>
      <c r="Z120" s="208"/>
      <c r="AA120" s="208"/>
      <c r="AB120" s="208"/>
      <c r="AC120" s="208"/>
      <c r="AD120" s="208"/>
      <c r="AE120" s="208"/>
      <c r="AF120" s="208"/>
      <c r="AG120" s="270"/>
    </row>
    <row r="121" spans="1:33" s="272" customFormat="1">
      <c r="A121" s="189"/>
      <c r="B121"/>
      <c r="C121"/>
      <c r="D121" s="266"/>
      <c r="E121" s="273">
        <f t="shared" si="5"/>
        <v>10</v>
      </c>
      <c r="F121" s="212">
        <f t="shared" si="3"/>
        <v>1.0400313056593289</v>
      </c>
      <c r="G121" s="212">
        <f t="shared" si="4"/>
        <v>6.7977317471914258</v>
      </c>
      <c r="H121"/>
      <c r="I121"/>
      <c r="J121"/>
      <c r="K121"/>
      <c r="L121" s="84"/>
      <c r="M121" s="194"/>
      <c r="N121" s="212"/>
      <c r="O121" s="212"/>
      <c r="P121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70"/>
    </row>
    <row r="122" spans="1:33">
      <c r="D122" s="266"/>
      <c r="E122" s="267">
        <f t="shared" si="5"/>
        <v>10.5</v>
      </c>
      <c r="F122" s="212">
        <f t="shared" si="3"/>
        <v>1.0421069993975396</v>
      </c>
      <c r="G122" s="212">
        <f>(((F122-0.99)/7.36)*1000)</f>
        <v>7.0797553529265764</v>
      </c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70"/>
    </row>
    <row r="123" spans="1:33">
      <c r="D123" s="266"/>
      <c r="E123" s="267">
        <f t="shared" si="5"/>
        <v>11</v>
      </c>
      <c r="F123" s="212">
        <f t="shared" si="3"/>
        <v>1.0441900273865525</v>
      </c>
      <c r="G123" s="212">
        <f t="shared" ref="G123:G158" si="6">((F123-0.99)/7.36*1000)</f>
        <v>7.3627754601294209</v>
      </c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70"/>
    </row>
    <row r="124" spans="1:33">
      <c r="D124" s="266"/>
      <c r="E124" s="267">
        <f t="shared" si="5"/>
        <v>11.5</v>
      </c>
      <c r="F124" s="212">
        <f t="shared" si="3"/>
        <v>1.0462804285673983</v>
      </c>
      <c r="G124" s="212">
        <f t="shared" si="6"/>
        <v>7.6467973597008614</v>
      </c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70"/>
    </row>
    <row r="125" spans="1:33" ht="15" thickBot="1">
      <c r="D125" s="266"/>
      <c r="E125" s="267">
        <f t="shared" si="5"/>
        <v>12</v>
      </c>
      <c r="F125" s="212">
        <f t="shared" si="3"/>
        <v>1.0483782421572725</v>
      </c>
      <c r="G125" s="212">
        <f t="shared" si="6"/>
        <v>7.9318263800641979</v>
      </c>
      <c r="Q125" s="208"/>
      <c r="R125" s="208"/>
      <c r="S125" s="208"/>
      <c r="T125" s="208"/>
      <c r="U125" s="208"/>
      <c r="V125" s="208"/>
      <c r="W125" s="208"/>
      <c r="X125" s="208"/>
      <c r="Y125" s="208"/>
      <c r="Z125" s="268"/>
      <c r="AA125" s="268"/>
      <c r="AB125" s="268"/>
      <c r="AC125" s="268"/>
      <c r="AD125" s="268"/>
      <c r="AE125" s="268"/>
      <c r="AF125" s="268"/>
      <c r="AG125" s="274"/>
    </row>
    <row r="126" spans="1:33">
      <c r="D126" s="266"/>
      <c r="E126" s="267">
        <f t="shared" si="5"/>
        <v>12.5</v>
      </c>
      <c r="F126" s="212">
        <f t="shared" si="3"/>
        <v>1.0504835076519858</v>
      </c>
      <c r="G126" s="212">
        <f t="shared" si="6"/>
        <v>8.2178678874980768</v>
      </c>
      <c r="Q126" s="208"/>
      <c r="R126" s="208"/>
      <c r="S126" s="208"/>
      <c r="T126" s="208"/>
      <c r="U126" s="208"/>
      <c r="V126" s="208"/>
      <c r="W126" s="208"/>
      <c r="X126" s="208"/>
      <c r="Y126" s="208"/>
    </row>
    <row r="127" spans="1:33">
      <c r="D127" s="266"/>
      <c r="E127" s="267">
        <f t="shared" si="5"/>
        <v>13</v>
      </c>
      <c r="F127" s="212">
        <f t="shared" si="3"/>
        <v>1.0525962648284455</v>
      </c>
      <c r="G127" s="212">
        <f t="shared" si="6"/>
        <v>8.5049272864735705</v>
      </c>
      <c r="Q127" s="208"/>
      <c r="R127" s="208"/>
      <c r="S127" s="208"/>
      <c r="T127" s="208"/>
      <c r="U127" s="208"/>
      <c r="V127" s="208"/>
      <c r="W127" s="208"/>
      <c r="X127" s="208"/>
      <c r="Y127" s="208"/>
    </row>
    <row r="128" spans="1:33">
      <c r="D128" s="266"/>
      <c r="E128" s="267">
        <f t="shared" si="5"/>
        <v>13.5</v>
      </c>
      <c r="F128" s="212">
        <f t="shared" si="3"/>
        <v>1.0547165537471586</v>
      </c>
      <c r="G128" s="212">
        <f t="shared" si="6"/>
        <v>8.7930100199943695</v>
      </c>
      <c r="Q128" s="208"/>
      <c r="R128" s="208"/>
      <c r="S128" s="208"/>
      <c r="T128" s="208"/>
      <c r="U128" s="208"/>
      <c r="V128" s="208"/>
      <c r="W128" s="208"/>
      <c r="X128" s="208"/>
      <c r="Y128" s="208"/>
    </row>
    <row r="129" spans="4:25">
      <c r="D129" s="266"/>
      <c r="E129" s="267">
        <f t="shared" si="5"/>
        <v>14</v>
      </c>
      <c r="F129" s="212">
        <f t="shared" si="3"/>
        <v>1.0568444147547644</v>
      </c>
      <c r="G129" s="212">
        <f t="shared" si="6"/>
        <v>9.0821215699408206</v>
      </c>
      <c r="P129" s="272"/>
      <c r="Q129" s="208"/>
      <c r="R129" s="208"/>
      <c r="S129" s="208"/>
      <c r="T129" s="208"/>
      <c r="U129" s="208"/>
      <c r="V129" s="208"/>
      <c r="W129" s="208"/>
      <c r="X129" s="208"/>
      <c r="Y129" s="208"/>
    </row>
    <row r="130" spans="4:25">
      <c r="D130" s="266"/>
      <c r="E130" s="267">
        <f t="shared" si="5"/>
        <v>14.5</v>
      </c>
      <c r="F130" s="212">
        <f t="shared" si="3"/>
        <v>1.0589798884865946</v>
      </c>
      <c r="G130" s="212">
        <f t="shared" si="6"/>
        <v>9.3722674574177489</v>
      </c>
      <c r="Q130" s="208"/>
      <c r="R130" s="208"/>
      <c r="S130" s="208"/>
      <c r="T130" s="208"/>
      <c r="U130" s="208"/>
      <c r="V130" s="208"/>
      <c r="W130" s="208"/>
      <c r="X130" s="208"/>
      <c r="Y130" s="208"/>
    </row>
    <row r="131" spans="4:25">
      <c r="D131" s="266"/>
      <c r="E131" s="267">
        <f t="shared" si="5"/>
        <v>15</v>
      </c>
      <c r="F131" s="212">
        <f t="shared" si="3"/>
        <v>1.0611230158692584</v>
      </c>
      <c r="G131" s="212">
        <f t="shared" si="6"/>
        <v>9.66345324310576</v>
      </c>
      <c r="Q131" s="208"/>
      <c r="R131" s="208"/>
      <c r="S131" s="208"/>
      <c r="T131" s="208"/>
      <c r="U131" s="208"/>
      <c r="V131" s="208"/>
      <c r="W131" s="208"/>
      <c r="X131" s="208"/>
      <c r="Y131" s="208"/>
    </row>
    <row r="132" spans="4:25">
      <c r="D132" s="266"/>
      <c r="E132" s="267">
        <f t="shared" si="5"/>
        <v>15.5</v>
      </c>
      <c r="F132" s="212">
        <f t="shared" si="3"/>
        <v>1.0632738381232583</v>
      </c>
      <c r="G132" s="212">
        <f t="shared" si="6"/>
        <v>9.9556845276166133</v>
      </c>
      <c r="R132" s="208"/>
      <c r="S132" s="208"/>
      <c r="T132" s="208"/>
      <c r="U132" s="208"/>
      <c r="V132" s="208"/>
      <c r="W132" s="208"/>
      <c r="X132" s="208"/>
      <c r="Y132" s="208"/>
    </row>
    <row r="133" spans="4:25">
      <c r="D133" s="266"/>
      <c r="E133" s="267">
        <f t="shared" si="5"/>
        <v>16</v>
      </c>
      <c r="F133" s="212">
        <f t="shared" si="3"/>
        <v>1.0654323967656325</v>
      </c>
      <c r="G133" s="212">
        <f t="shared" si="6"/>
        <v>10.248966951852243</v>
      </c>
      <c r="R133" s="208"/>
      <c r="S133" s="208"/>
      <c r="T133" s="208"/>
      <c r="U133" s="208"/>
      <c r="V133" s="208"/>
      <c r="W133" s="208"/>
      <c r="X133" s="208"/>
      <c r="Y133" s="208"/>
    </row>
    <row r="134" spans="4:25">
      <c r="D134" s="266"/>
      <c r="E134" s="267">
        <f t="shared" si="5"/>
        <v>16.5</v>
      </c>
      <c r="F134" s="212">
        <f t="shared" si="3"/>
        <v>1.0675987336126265</v>
      </c>
      <c r="G134" s="212">
        <f t="shared" si="6"/>
        <v>10.543306197367729</v>
      </c>
      <c r="R134" s="208"/>
      <c r="S134" s="208"/>
      <c r="T134" s="208"/>
      <c r="U134" s="208"/>
      <c r="V134" s="208"/>
      <c r="W134" s="208"/>
      <c r="X134" s="208"/>
      <c r="Y134" s="208"/>
    </row>
    <row r="135" spans="4:25">
      <c r="D135" s="266"/>
      <c r="E135" s="267">
        <f t="shared" si="5"/>
        <v>17</v>
      </c>
      <c r="F135" s="212">
        <f t="shared" si="3"/>
        <v>1.0697728907823929</v>
      </c>
      <c r="G135" s="212">
        <f t="shared" si="6"/>
        <v>10.838707986738166</v>
      </c>
      <c r="R135" s="208"/>
      <c r="S135" s="208"/>
      <c r="T135" s="208"/>
      <c r="U135" s="208"/>
      <c r="V135" s="208"/>
      <c r="W135" s="208"/>
      <c r="X135" s="208"/>
      <c r="Y135" s="208"/>
    </row>
    <row r="136" spans="4:25">
      <c r="D136" s="266"/>
      <c r="E136" s="267">
        <f t="shared" si="5"/>
        <v>17.5</v>
      </c>
      <c r="F136" s="212">
        <f t="shared" si="3"/>
        <v>1.0719549106977213</v>
      </c>
      <c r="G136" s="212">
        <f t="shared" si="6"/>
        <v>11.135178083929526</v>
      </c>
      <c r="R136" s="208"/>
      <c r="S136" s="208"/>
      <c r="T136" s="208"/>
      <c r="U136" s="208"/>
      <c r="V136" s="208"/>
      <c r="W136" s="208"/>
      <c r="X136" s="208"/>
      <c r="Y136" s="208"/>
    </row>
    <row r="137" spans="4:25">
      <c r="D137" s="266"/>
      <c r="E137" s="267">
        <f t="shared" si="5"/>
        <v>18</v>
      </c>
      <c r="F137" s="212">
        <f t="shared" si="3"/>
        <v>1.0741448360887977</v>
      </c>
      <c r="G137" s="212">
        <f t="shared" si="6"/>
        <v>11.432722294673606</v>
      </c>
      <c r="R137" s="208"/>
      <c r="S137" s="208"/>
      <c r="T137" s="208"/>
      <c r="U137" s="208"/>
      <c r="V137" s="208"/>
      <c r="W137" s="208"/>
      <c r="X137" s="208"/>
      <c r="Y137" s="208"/>
    </row>
    <row r="138" spans="4:25">
      <c r="D138" s="266"/>
      <c r="E138" s="267">
        <f t="shared" si="5"/>
        <v>18.5</v>
      </c>
      <c r="F138" s="212">
        <f t="shared" si="3"/>
        <v>1.0763427099959932</v>
      </c>
      <c r="G138" s="212">
        <f t="shared" si="6"/>
        <v>11.731346466846908</v>
      </c>
      <c r="R138" s="208"/>
      <c r="S138" s="208"/>
      <c r="T138" s="208"/>
      <c r="U138" s="208"/>
      <c r="V138" s="208"/>
      <c r="W138" s="208"/>
      <c r="X138" s="208"/>
      <c r="Y138" s="208"/>
    </row>
    <row r="139" spans="4:25">
      <c r="D139" s="266"/>
      <c r="E139" s="267">
        <f t="shared" si="5"/>
        <v>19</v>
      </c>
      <c r="F139" s="212">
        <f t="shared" si="3"/>
        <v>1.0785485757726847</v>
      </c>
      <c r="G139" s="212">
        <f t="shared" si="6"/>
        <v>12.031056490853901</v>
      </c>
      <c r="Q139" s="272"/>
      <c r="R139" s="208"/>
      <c r="S139" s="208"/>
      <c r="T139" s="208"/>
      <c r="U139" s="208"/>
      <c r="V139" s="208"/>
      <c r="W139" s="208"/>
      <c r="X139" s="208"/>
      <c r="Y139" s="208"/>
    </row>
    <row r="140" spans="4:25">
      <c r="D140" s="266"/>
      <c r="E140" s="267">
        <f t="shared" si="5"/>
        <v>19.5</v>
      </c>
      <c r="F140" s="212">
        <f t="shared" si="3"/>
        <v>1.0807624770881044</v>
      </c>
      <c r="G140" s="212">
        <f t="shared" si="6"/>
        <v>12.331858300014179</v>
      </c>
      <c r="R140" s="208"/>
      <c r="S140" s="208"/>
      <c r="T140" s="208"/>
      <c r="U140" s="208"/>
      <c r="V140" s="208"/>
      <c r="W140" s="208"/>
      <c r="X140" s="208"/>
      <c r="Y140" s="208"/>
    </row>
    <row r="141" spans="4:25">
      <c r="D141" s="266"/>
      <c r="E141" s="267">
        <f t="shared" si="5"/>
        <v>20</v>
      </c>
      <c r="F141" s="212">
        <f t="shared" si="3"/>
        <v>1.0829844579302224</v>
      </c>
      <c r="G141" s="212">
        <f t="shared" si="6"/>
        <v>12.633757870954126</v>
      </c>
      <c r="R141" s="208"/>
      <c r="S141" s="208"/>
      <c r="T141" s="208"/>
      <c r="U141" s="208"/>
      <c r="V141" s="208"/>
      <c r="W141" s="208"/>
      <c r="X141" s="208"/>
      <c r="Y141" s="208"/>
    </row>
    <row r="142" spans="4:25">
      <c r="D142" s="266"/>
      <c r="E142" s="267">
        <f t="shared" si="5"/>
        <v>20.5</v>
      </c>
      <c r="F142" s="212">
        <f t="shared" si="3"/>
        <v>1.0852145626086593</v>
      </c>
      <c r="G142" s="212">
        <f t="shared" si="6"/>
        <v>12.936761224002629</v>
      </c>
      <c r="R142" s="208"/>
      <c r="S142" s="208"/>
      <c r="T142" s="208"/>
      <c r="U142" s="208"/>
      <c r="V142" s="208"/>
      <c r="W142" s="208"/>
      <c r="X142" s="208"/>
      <c r="Y142" s="208"/>
    </row>
    <row r="143" spans="4:25" ht="15" thickBot="1">
      <c r="D143" s="266"/>
      <c r="E143" s="267">
        <f t="shared" si="5"/>
        <v>21</v>
      </c>
      <c r="F143" s="212">
        <f t="shared" si="3"/>
        <v>1.0874528357576327</v>
      </c>
      <c r="G143" s="212">
        <f t="shared" si="6"/>
        <v>13.240874423591407</v>
      </c>
      <c r="R143" s="208"/>
      <c r="S143" s="208"/>
      <c r="T143" s="208"/>
      <c r="U143" s="208"/>
      <c r="V143" s="208"/>
      <c r="W143" s="208"/>
      <c r="X143" s="208"/>
      <c r="Y143" s="268"/>
    </row>
    <row r="144" spans="4:25">
      <c r="D144" s="266"/>
      <c r="E144" s="273">
        <f t="shared" si="5"/>
        <v>21.5</v>
      </c>
      <c r="F144" s="212">
        <f t="shared" si="3"/>
        <v>1.0896993223389333</v>
      </c>
      <c r="G144" s="212">
        <f t="shared" si="6"/>
        <v>13.546103578659416</v>
      </c>
    </row>
    <row r="145" spans="4:7">
      <c r="D145" s="266"/>
      <c r="E145" s="267">
        <f t="shared" si="5"/>
        <v>22</v>
      </c>
      <c r="F145" s="212">
        <f t="shared" si="3"/>
        <v>1.0919540676449373</v>
      </c>
      <c r="G145" s="212">
        <f t="shared" si="6"/>
        <v>13.852454843062134</v>
      </c>
    </row>
    <row r="146" spans="4:7">
      <c r="D146" s="266"/>
      <c r="E146" s="267">
        <f t="shared" si="5"/>
        <v>22.5</v>
      </c>
      <c r="F146" s="212">
        <f t="shared" si="3"/>
        <v>1.0942171173016491</v>
      </c>
      <c r="G146" s="212">
        <f t="shared" si="6"/>
        <v>14.159934415984926</v>
      </c>
    </row>
    <row r="147" spans="4:7">
      <c r="D147" s="266"/>
      <c r="E147" s="267">
        <f t="shared" si="5"/>
        <v>23</v>
      </c>
      <c r="F147" s="212">
        <f t="shared" si="3"/>
        <v>1.0964885172717793</v>
      </c>
      <c r="G147" s="212">
        <f t="shared" si="6"/>
        <v>14.46854854236132</v>
      </c>
    </row>
    <row r="148" spans="4:7">
      <c r="D148" s="266"/>
      <c r="E148" s="267">
        <f t="shared" si="5"/>
        <v>23.5</v>
      </c>
      <c r="F148" s="212">
        <f t="shared" si="3"/>
        <v>1.0987683138578568</v>
      </c>
      <c r="G148" s="212">
        <f t="shared" si="6"/>
        <v>14.778303513295759</v>
      </c>
    </row>
    <row r="149" spans="4:7">
      <c r="D149" s="266"/>
      <c r="E149" s="267">
        <f t="shared" si="5"/>
        <v>24</v>
      </c>
      <c r="F149" s="212">
        <f t="shared" si="3"/>
        <v>1.1010565537053743</v>
      </c>
      <c r="G149" s="212">
        <f t="shared" si="6"/>
        <v>15.089205666491067</v>
      </c>
    </row>
    <row r="150" spans="4:7">
      <c r="D150" s="266"/>
      <c r="E150" s="267">
        <f t="shared" si="5"/>
        <v>24.5</v>
      </c>
      <c r="F150" s="212">
        <f t="shared" si="3"/>
        <v>1.1033532838059705</v>
      </c>
      <c r="G150" s="212">
        <f t="shared" si="6"/>
        <v>15.40126138668078</v>
      </c>
    </row>
    <row r="151" spans="4:7">
      <c r="D151" s="266"/>
      <c r="E151" s="267">
        <f t="shared" si="5"/>
        <v>25</v>
      </c>
      <c r="F151" s="212">
        <f t="shared" si="3"/>
        <v>1.1056585515006461</v>
      </c>
      <c r="G151" s="212">
        <f t="shared" si="6"/>
        <v>15.714477106066042</v>
      </c>
    </row>
    <row r="152" spans="4:7">
      <c r="D152" s="266"/>
      <c r="E152" s="267">
        <f t="shared" si="5"/>
        <v>25.5</v>
      </c>
      <c r="F152" s="212">
        <f t="shared" si="3"/>
        <v>1.107972404483017</v>
      </c>
      <c r="G152" s="212">
        <f t="shared" si="6"/>
        <v>16.028859304757749</v>
      </c>
    </row>
    <row r="153" spans="4:7">
      <c r="D153" s="266"/>
      <c r="E153" s="267">
        <f t="shared" si="5"/>
        <v>26</v>
      </c>
      <c r="F153" s="212">
        <f t="shared" si="3"/>
        <v>1.1102948908026036</v>
      </c>
      <c r="G153" s="212">
        <f t="shared" si="6"/>
        <v>16.344414511223313</v>
      </c>
    </row>
    <row r="154" spans="4:7">
      <c r="D154" s="266"/>
      <c r="E154" s="267">
        <f t="shared" si="5"/>
        <v>26.5</v>
      </c>
      <c r="F154" s="212">
        <f t="shared" si="3"/>
        <v>1.112626058868156</v>
      </c>
      <c r="G154" s="212">
        <f t="shared" si="6"/>
        <v>16.66114930273859</v>
      </c>
    </row>
    <row r="155" spans="4:7">
      <c r="D155" s="266"/>
      <c r="E155" s="267">
        <f t="shared" si="5"/>
        <v>27</v>
      </c>
      <c r="F155" s="212">
        <f t="shared" si="3"/>
        <v>1.1149659574510189</v>
      </c>
      <c r="G155" s="212">
        <f t="shared" si="6"/>
        <v>16.97907030584496</v>
      </c>
    </row>
    <row r="156" spans="4:7">
      <c r="D156" s="266"/>
      <c r="E156" s="267">
        <f t="shared" si="5"/>
        <v>27.5</v>
      </c>
      <c r="F156" s="212">
        <f t="shared" si="3"/>
        <v>1.1173146356885315</v>
      </c>
      <c r="G156" s="212">
        <f t="shared" si="6"/>
        <v>17.298184196811345</v>
      </c>
    </row>
    <row r="157" spans="4:7">
      <c r="D157" s="266"/>
      <c r="E157" s="267">
        <f t="shared" si="5"/>
        <v>28</v>
      </c>
      <c r="F157" s="212">
        <f t="shared" si="3"/>
        <v>1.1196721430874672</v>
      </c>
      <c r="G157" s="212">
        <f t="shared" si="6"/>
        <v>17.618497702101521</v>
      </c>
    </row>
    <row r="158" spans="4:7">
      <c r="D158" s="266"/>
      <c r="E158" s="267">
        <f t="shared" si="5"/>
        <v>28.5</v>
      </c>
      <c r="F158" s="212">
        <f t="shared" si="3"/>
        <v>1.122038529527513</v>
      </c>
      <c r="G158" s="212">
        <f t="shared" si="6"/>
        <v>17.940017598846882</v>
      </c>
    </row>
    <row r="475" spans="2:19">
      <c r="B475" s="263" t="s">
        <v>578</v>
      </c>
      <c r="C475" s="263" t="s">
        <v>508</v>
      </c>
    </row>
    <row r="480" spans="2:19" ht="21">
      <c r="C480" s="275" t="s">
        <v>579</v>
      </c>
      <c r="D480" s="275"/>
      <c r="E480" s="275"/>
      <c r="F480" s="275"/>
      <c r="G480" s="275"/>
      <c r="H480" s="275"/>
      <c r="I480" s="275"/>
      <c r="J480" s="275"/>
      <c r="L480" s="275" t="s">
        <v>580</v>
      </c>
      <c r="M480" s="275"/>
      <c r="N480" s="275"/>
      <c r="O480" s="275"/>
      <c r="P480" s="275"/>
      <c r="Q480" s="275"/>
      <c r="R480" s="275"/>
      <c r="S480" s="275"/>
    </row>
    <row r="481" spans="2:19" ht="21">
      <c r="B481" t="s">
        <v>581</v>
      </c>
      <c r="C481" s="276"/>
      <c r="D481" s="276"/>
      <c r="E481" s="276"/>
      <c r="F481" s="276"/>
      <c r="G481" s="276"/>
      <c r="H481" s="276"/>
      <c r="I481" s="276"/>
      <c r="J481" s="276"/>
      <c r="L481" s="276"/>
      <c r="M481" s="277"/>
      <c r="N481" s="278"/>
      <c r="O481" s="278"/>
      <c r="P481" s="276"/>
      <c r="Q481" s="276"/>
      <c r="R481" s="276"/>
      <c r="S481" s="276"/>
    </row>
    <row r="482" spans="2:19">
      <c r="B482" s="263" t="s">
        <v>578</v>
      </c>
      <c r="C482" s="279" t="s">
        <v>582</v>
      </c>
      <c r="D482" s="280">
        <f>C10</f>
        <v>5</v>
      </c>
      <c r="E482" s="281"/>
      <c r="F482" s="281"/>
      <c r="G482" s="279"/>
      <c r="H482" s="281"/>
      <c r="I482" s="281"/>
      <c r="J482" s="281"/>
      <c r="L482" s="282" t="s">
        <v>582</v>
      </c>
      <c r="M482" s="283">
        <f>C10</f>
        <v>5</v>
      </c>
      <c r="N482" s="284"/>
      <c r="O482" s="284"/>
      <c r="P482" s="279"/>
      <c r="Q482" s="281"/>
      <c r="R482" s="281"/>
      <c r="S482" s="281"/>
    </row>
    <row r="483" spans="2:19">
      <c r="B483" s="263" t="s">
        <v>508</v>
      </c>
      <c r="C483" s="279" t="s">
        <v>583</v>
      </c>
      <c r="D483" s="285">
        <f>D14</f>
        <v>12.387028012500082</v>
      </c>
      <c r="E483" s="281"/>
      <c r="F483" s="281"/>
      <c r="G483" s="279" t="s">
        <v>584</v>
      </c>
      <c r="H483" s="286">
        <f>INT(D483)</f>
        <v>12</v>
      </c>
      <c r="I483" s="286">
        <f>H483+1</f>
        <v>13</v>
      </c>
      <c r="J483" s="286">
        <f>D483-H483</f>
        <v>0.38702801250008179</v>
      </c>
      <c r="L483" s="282" t="s">
        <v>583</v>
      </c>
      <c r="M483" s="287">
        <f>D14</f>
        <v>12.387028012500082</v>
      </c>
      <c r="N483" s="284"/>
      <c r="O483" s="284"/>
      <c r="P483" s="279" t="s">
        <v>584</v>
      </c>
      <c r="Q483" s="286">
        <f>INT(M483)</f>
        <v>12</v>
      </c>
      <c r="R483" s="286">
        <f>Q483+1</f>
        <v>13</v>
      </c>
      <c r="S483" s="286">
        <f>M483-Q483</f>
        <v>0.38702801250008179</v>
      </c>
    </row>
    <row r="484" spans="2:19">
      <c r="C484" s="279" t="s">
        <v>585</v>
      </c>
      <c r="D484" s="288">
        <f>D11</f>
        <v>3.5</v>
      </c>
      <c r="E484" s="281"/>
      <c r="F484" s="281"/>
      <c r="G484" s="279"/>
      <c r="H484" s="286"/>
      <c r="I484" s="286"/>
      <c r="J484" s="286"/>
      <c r="L484" s="282" t="s">
        <v>585</v>
      </c>
      <c r="M484" s="289">
        <f>D11</f>
        <v>3.5</v>
      </c>
      <c r="N484" s="284"/>
      <c r="O484" s="284"/>
      <c r="P484" s="279"/>
      <c r="Q484" s="286"/>
      <c r="R484" s="286"/>
      <c r="S484" s="286"/>
    </row>
    <row r="485" spans="2:19">
      <c r="C485" s="279" t="s">
        <v>586</v>
      </c>
      <c r="D485" s="290">
        <f>D19</f>
        <v>21.233584068732171</v>
      </c>
      <c r="E485" s="281"/>
      <c r="F485" s="281"/>
      <c r="G485" s="279" t="s">
        <v>584</v>
      </c>
      <c r="H485" s="286">
        <f>INT(D485)</f>
        <v>21</v>
      </c>
      <c r="I485" s="286">
        <f>IF(H485+1&gt;25,25,H485+1)</f>
        <v>22</v>
      </c>
      <c r="J485" s="286">
        <f>D485-H485</f>
        <v>0.23358406873217064</v>
      </c>
      <c r="L485" s="282" t="s">
        <v>586</v>
      </c>
      <c r="M485" s="291">
        <f>+D19</f>
        <v>21.233584068732171</v>
      </c>
      <c r="N485" s="284"/>
      <c r="O485" s="284"/>
      <c r="P485" s="279" t="s">
        <v>584</v>
      </c>
      <c r="Q485" s="286">
        <f>INT(M485)</f>
        <v>21</v>
      </c>
      <c r="R485" s="286">
        <f>IF(Q485+1&gt;25,25,Q485+1)</f>
        <v>22</v>
      </c>
      <c r="S485" s="286">
        <f>M485-Q485</f>
        <v>0.23358406873217064</v>
      </c>
    </row>
    <row r="486" spans="2:19">
      <c r="C486" s="279"/>
      <c r="D486" s="286"/>
      <c r="E486" s="281"/>
      <c r="F486" s="281"/>
      <c r="G486" s="279"/>
      <c r="H486" s="281"/>
      <c r="I486" s="281"/>
      <c r="J486" s="281"/>
      <c r="L486" s="282"/>
      <c r="M486" s="292"/>
      <c r="N486" s="284"/>
      <c r="O486" s="284"/>
      <c r="P486" s="279"/>
      <c r="Q486" s="281"/>
      <c r="R486" s="281"/>
      <c r="S486" s="281"/>
    </row>
    <row r="487" spans="2:19">
      <c r="C487" s="279" t="s">
        <v>587</v>
      </c>
      <c r="D487" s="286">
        <f>D482*(J489-J490)</f>
        <v>6.1450286232089564</v>
      </c>
      <c r="E487" s="281"/>
      <c r="F487" s="281"/>
      <c r="G487" s="279" t="s">
        <v>588</v>
      </c>
      <c r="H487" s="293">
        <f>(D482/0.65)-D482</f>
        <v>2.6923076923076916</v>
      </c>
      <c r="I487" s="293">
        <f>((D484-0.5)/0.5)*D482</f>
        <v>30</v>
      </c>
      <c r="J487" s="281"/>
      <c r="L487" s="282" t="s">
        <v>587</v>
      </c>
      <c r="M487" s="294">
        <f>M482*(S489-S490)</f>
        <v>5.0729961000455788</v>
      </c>
      <c r="N487" s="284"/>
      <c r="O487" s="284"/>
      <c r="P487" s="279" t="s">
        <v>588</v>
      </c>
      <c r="Q487" s="293">
        <f>(M482/0.65)-M482</f>
        <v>2.6923076923076916</v>
      </c>
      <c r="R487" s="293">
        <f>((M484-0.5)/0.5)*M482</f>
        <v>30</v>
      </c>
      <c r="S487" s="281"/>
    </row>
    <row r="488" spans="2:19">
      <c r="C488" s="279" t="s">
        <v>589</v>
      </c>
      <c r="D488" s="286">
        <f>D482*(1+(J491-J492))</f>
        <v>5.4798785292271122</v>
      </c>
      <c r="E488" s="281"/>
      <c r="F488" s="281"/>
      <c r="G488" s="279"/>
      <c r="H488" s="281"/>
      <c r="I488" s="281"/>
      <c r="J488" s="281"/>
      <c r="L488" s="282" t="s">
        <v>589</v>
      </c>
      <c r="M488" s="294">
        <f>M482*(1+(S491-S492))</f>
        <v>5.3783328285398282</v>
      </c>
      <c r="N488" s="284"/>
      <c r="O488" s="284"/>
      <c r="P488" s="279"/>
      <c r="Q488" s="281"/>
      <c r="R488" s="281"/>
      <c r="S488" s="281"/>
    </row>
    <row r="489" spans="2:19">
      <c r="C489" s="279" t="s">
        <v>590</v>
      </c>
      <c r="D489" s="295">
        <f>IF(D484&lt;&gt;0,(D482/D488)*D484,0)</f>
        <v>3.1935014447242169</v>
      </c>
      <c r="E489" s="281"/>
      <c r="F489" s="281"/>
      <c r="G489" s="279" t="s">
        <v>591</v>
      </c>
      <c r="H489" s="296">
        <f>VLOOKUP(H483,C497:G522,4)</f>
        <v>1.8317000000000001</v>
      </c>
      <c r="I489" s="296">
        <f>VLOOKUP(I483,C497:G522,4)</f>
        <v>1.6976</v>
      </c>
      <c r="J489" s="296">
        <f>H489-((H489-I489)*J483)</f>
        <v>1.779799543523739</v>
      </c>
      <c r="L489" s="282" t="s">
        <v>590</v>
      </c>
      <c r="M489" s="294">
        <f>IF(M484&lt;&gt;0,(M482/M488)*M484,0)</f>
        <v>3.2537964008358147</v>
      </c>
      <c r="N489" s="284"/>
      <c r="O489" s="284"/>
      <c r="P489" s="279" t="s">
        <v>591</v>
      </c>
      <c r="Q489" s="296">
        <f>VLOOKUP(Q483,L497:N522,2)</f>
        <v>1.5122</v>
      </c>
      <c r="R489" s="296">
        <f>VLOOKUP(R483,L497:M522,2)</f>
        <v>1.4015</v>
      </c>
      <c r="S489" s="296">
        <f>Q489-((Q489-R489)*S483)</f>
        <v>1.469355999016241</v>
      </c>
    </row>
    <row r="490" spans="2:19">
      <c r="C490" s="279" t="s">
        <v>592</v>
      </c>
      <c r="D490" s="286">
        <f>IF(I487&gt;H487,H487,I487)</f>
        <v>2.6923076923076916</v>
      </c>
      <c r="E490" s="281"/>
      <c r="F490" s="281"/>
      <c r="G490" s="279" t="s">
        <v>591</v>
      </c>
      <c r="H490" s="296">
        <f>VLOOKUP(H485,C497:G522,4)</f>
        <v>0.58450000000000002</v>
      </c>
      <c r="I490" s="296">
        <f>VLOOKUP(I485,C497:G522,4)</f>
        <v>0.44019999999999998</v>
      </c>
      <c r="J490" s="296">
        <f>H490-((H490-I490)*J485)</f>
        <v>0.55079381888194778</v>
      </c>
      <c r="L490" s="282" t="s">
        <v>592</v>
      </c>
      <c r="M490" s="294">
        <f>IF(R487&gt;Q487,Q487,R487)</f>
        <v>2.6923076923076916</v>
      </c>
      <c r="N490" s="284"/>
      <c r="O490" s="284"/>
      <c r="P490" s="279" t="s">
        <v>591</v>
      </c>
      <c r="Q490" s="296">
        <f>VLOOKUP(Q485,L497:N522,2)</f>
        <v>0.48259999999999997</v>
      </c>
      <c r="R490" s="296">
        <f>VLOOKUP(R485,L497:M522,2)</f>
        <v>0.3634</v>
      </c>
      <c r="S490" s="296">
        <f>Q490-((Q490-R490)*S485)</f>
        <v>0.45475677900712524</v>
      </c>
    </row>
    <row r="491" spans="2:19">
      <c r="C491" s="279" t="s">
        <v>593</v>
      </c>
      <c r="D491" s="286">
        <f>D488-D482</f>
        <v>0.47987852922711216</v>
      </c>
      <c r="E491" s="281"/>
      <c r="F491" s="281"/>
      <c r="G491" s="279" t="s">
        <v>594</v>
      </c>
      <c r="H491" s="296">
        <f>VLOOKUP(H483,C497:G522,5)</f>
        <v>1.143</v>
      </c>
      <c r="I491" s="296">
        <f>VLOOKUP(I483,C497:G522,5)</f>
        <v>1.1325000000000001</v>
      </c>
      <c r="J491" s="296">
        <f>H491-((H491-I491)*J483)</f>
        <v>1.1389362058687491</v>
      </c>
      <c r="L491" s="282" t="s">
        <v>593</v>
      </c>
      <c r="M491" s="294">
        <f>M488-M482</f>
        <v>0.37833282853982819</v>
      </c>
      <c r="N491" s="284"/>
      <c r="O491" s="284"/>
      <c r="P491" s="279" t="s">
        <v>594</v>
      </c>
      <c r="Q491" s="296">
        <f>VLOOKUP(Q483,L497:N522,3)</f>
        <v>1.1127</v>
      </c>
      <c r="R491" s="296">
        <f>VLOOKUP(R483,L497:N522,3)</f>
        <v>1.1044</v>
      </c>
      <c r="S491" s="296">
        <f>Q491-((Q491-R491)*S483)</f>
        <v>1.1094876674962493</v>
      </c>
    </row>
    <row r="492" spans="2:19">
      <c r="C492" s="279" t="s">
        <v>595</v>
      </c>
      <c r="D492" s="286">
        <f>D490-D491</f>
        <v>2.2124291630805795</v>
      </c>
      <c r="E492" s="281"/>
      <c r="F492" s="281"/>
      <c r="G492" s="279" t="s">
        <v>594</v>
      </c>
      <c r="H492" s="296">
        <f>VLOOKUP(H485,C497:G522,5)</f>
        <v>1.0456000000000001</v>
      </c>
      <c r="I492" s="296">
        <f>VLOOKUP(I485,C497:G522,5)</f>
        <v>1.0343</v>
      </c>
      <c r="J492" s="296">
        <f>H492-((H492-I492)*J485)</f>
        <v>1.0429605000233266</v>
      </c>
      <c r="L492" s="282" t="s">
        <v>595</v>
      </c>
      <c r="M492" s="294">
        <f>M490-M491</f>
        <v>2.3139748637678634</v>
      </c>
      <c r="N492" s="284"/>
      <c r="O492" s="284"/>
      <c r="P492" s="279" t="s">
        <v>594</v>
      </c>
      <c r="Q492" s="296">
        <f>VLOOKUP(Q485,L497:N522,3)</f>
        <v>1.0359</v>
      </c>
      <c r="R492" s="296">
        <f>VLOOKUP(R485,L497:N522,3)</f>
        <v>1.0269999999999999</v>
      </c>
      <c r="S492" s="296">
        <f>Q492-((Q492-R492)*S485)</f>
        <v>1.0338211017882837</v>
      </c>
    </row>
    <row r="493" spans="2:19">
      <c r="C493" s="281"/>
      <c r="D493" s="281"/>
      <c r="E493" s="281"/>
      <c r="F493" s="281"/>
      <c r="G493" s="281"/>
      <c r="H493" s="281"/>
      <c r="I493" s="281"/>
      <c r="J493" s="281"/>
      <c r="L493" s="297"/>
      <c r="M493" s="298"/>
      <c r="N493" s="284"/>
      <c r="O493" s="284"/>
      <c r="P493" s="281"/>
      <c r="Q493" s="281"/>
      <c r="R493" s="281"/>
      <c r="S493" s="281"/>
    </row>
    <row r="494" spans="2:19">
      <c r="C494" s="281"/>
      <c r="D494" s="281"/>
      <c r="E494" s="281"/>
      <c r="F494" s="281"/>
      <c r="G494" s="281"/>
      <c r="H494" s="281"/>
      <c r="I494" s="281"/>
      <c r="J494" s="281"/>
      <c r="L494" s="297"/>
      <c r="M494" s="298"/>
      <c r="N494" s="284"/>
      <c r="O494" s="284"/>
      <c r="P494" s="281"/>
      <c r="Q494" s="281"/>
      <c r="R494" s="281"/>
      <c r="S494" s="281"/>
    </row>
    <row r="495" spans="2:19">
      <c r="C495" s="281"/>
      <c r="D495" s="281"/>
      <c r="E495" s="281"/>
      <c r="F495" s="281"/>
      <c r="G495" s="281"/>
      <c r="H495" s="281"/>
      <c r="I495" s="281"/>
      <c r="J495" s="281"/>
      <c r="L495" s="297"/>
      <c r="M495" s="298"/>
      <c r="N495" s="284"/>
      <c r="O495" s="284"/>
      <c r="P495" s="281"/>
      <c r="Q495" s="281"/>
      <c r="R495" s="281"/>
      <c r="S495" s="281"/>
    </row>
    <row r="496" spans="2:19">
      <c r="C496" s="297" t="s">
        <v>9</v>
      </c>
      <c r="D496" s="297" t="s">
        <v>596</v>
      </c>
      <c r="E496" s="297" t="s">
        <v>3</v>
      </c>
      <c r="F496" s="297" t="s">
        <v>597</v>
      </c>
      <c r="G496" s="297" t="s">
        <v>3</v>
      </c>
      <c r="H496" s="281"/>
      <c r="I496" s="281"/>
      <c r="J496" s="281"/>
      <c r="L496" s="297" t="s">
        <v>9</v>
      </c>
      <c r="M496" s="292" t="s">
        <v>596</v>
      </c>
      <c r="N496" s="299" t="s">
        <v>3</v>
      </c>
      <c r="O496" s="299" t="s">
        <v>597</v>
      </c>
      <c r="P496" s="297" t="s">
        <v>3</v>
      </c>
      <c r="Q496" s="281"/>
      <c r="R496" s="281"/>
      <c r="S496" s="281"/>
    </row>
    <row r="497" spans="3:19">
      <c r="C497" s="282">
        <v>0</v>
      </c>
      <c r="D497" s="296">
        <v>2.7759999999999998</v>
      </c>
      <c r="E497" s="296">
        <v>1.2069000000000001</v>
      </c>
      <c r="F497" s="296">
        <v>3.3624999999999998</v>
      </c>
      <c r="G497" s="296">
        <v>1.2625</v>
      </c>
      <c r="H497" s="281"/>
      <c r="I497" s="281"/>
      <c r="J497" s="281"/>
      <c r="L497" s="282">
        <v>0</v>
      </c>
      <c r="M497" s="292">
        <v>2.7759999999999998</v>
      </c>
      <c r="N497" s="299">
        <v>1.2069000000000001</v>
      </c>
      <c r="O497" s="299">
        <v>3.3624999999999998</v>
      </c>
      <c r="P497" s="296">
        <v>1.2625</v>
      </c>
      <c r="Q497" s="281"/>
      <c r="R497" s="281"/>
      <c r="S497" s="281"/>
    </row>
    <row r="498" spans="3:19">
      <c r="C498" s="282">
        <v>1</v>
      </c>
      <c r="D498" s="296">
        <v>2.6735000000000002</v>
      </c>
      <c r="E498" s="296">
        <v>1.1992</v>
      </c>
      <c r="F498" s="296">
        <v>3.2383000000000002</v>
      </c>
      <c r="G498" s="296">
        <v>1.2527999999999999</v>
      </c>
      <c r="H498" s="281"/>
      <c r="I498" s="281"/>
      <c r="J498" s="281"/>
      <c r="L498" s="282">
        <v>1</v>
      </c>
      <c r="M498" s="292">
        <v>2.6735000000000002</v>
      </c>
      <c r="N498" s="299">
        <v>1.1992</v>
      </c>
      <c r="O498" s="299">
        <v>3.2383000000000002</v>
      </c>
      <c r="P498" s="296">
        <v>1.2527999999999999</v>
      </c>
      <c r="Q498" s="281"/>
      <c r="R498" s="281"/>
      <c r="S498" s="281"/>
    </row>
    <row r="499" spans="3:19">
      <c r="C499" s="282">
        <v>2</v>
      </c>
      <c r="D499" s="296">
        <v>2.5720000000000001</v>
      </c>
      <c r="E499" s="296">
        <v>1.1917</v>
      </c>
      <c r="F499" s="296">
        <v>3.1154000000000002</v>
      </c>
      <c r="G499" s="296">
        <v>1.2432000000000001</v>
      </c>
      <c r="H499" s="281"/>
      <c r="I499" s="281"/>
      <c r="J499" s="281"/>
      <c r="L499" s="282">
        <v>2</v>
      </c>
      <c r="M499" s="292">
        <v>2.5720000000000001</v>
      </c>
      <c r="N499" s="299">
        <v>1.1917</v>
      </c>
      <c r="O499" s="299">
        <v>3.1154000000000002</v>
      </c>
      <c r="P499" s="296">
        <v>1.2432000000000001</v>
      </c>
      <c r="Q499" s="281"/>
      <c r="R499" s="281"/>
      <c r="S499" s="281"/>
    </row>
    <row r="500" spans="3:19">
      <c r="C500" s="282">
        <v>3</v>
      </c>
      <c r="D500" s="296">
        <v>2.4698000000000002</v>
      </c>
      <c r="E500" s="296">
        <v>1.1840999999999999</v>
      </c>
      <c r="F500" s="296">
        <v>2.9916</v>
      </c>
      <c r="G500" s="296">
        <v>1.2335</v>
      </c>
      <c r="H500" s="281"/>
      <c r="I500" s="281"/>
      <c r="J500" s="281"/>
      <c r="L500" s="282">
        <v>3</v>
      </c>
      <c r="M500" s="292">
        <v>2.4698000000000002</v>
      </c>
      <c r="N500" s="299">
        <v>1.1840999999999999</v>
      </c>
      <c r="O500" s="299">
        <v>2.9916</v>
      </c>
      <c r="P500" s="296">
        <v>1.2335</v>
      </c>
      <c r="Q500" s="281"/>
      <c r="R500" s="281"/>
      <c r="S500" s="281"/>
    </row>
    <row r="501" spans="3:19">
      <c r="C501" s="282">
        <v>4</v>
      </c>
      <c r="D501" s="296">
        <v>2.3666999999999998</v>
      </c>
      <c r="E501" s="296">
        <v>1.1763999999999999</v>
      </c>
      <c r="F501" s="296">
        <v>2.8666999999999998</v>
      </c>
      <c r="G501" s="296">
        <v>1.2238</v>
      </c>
      <c r="H501" s="281"/>
      <c r="I501" s="281"/>
      <c r="J501" s="281"/>
      <c r="L501" s="282">
        <v>4</v>
      </c>
      <c r="M501" s="292">
        <v>2.3666999999999998</v>
      </c>
      <c r="N501" s="299">
        <v>1.1763999999999999</v>
      </c>
      <c r="O501" s="299">
        <v>2.8666999999999998</v>
      </c>
      <c r="P501" s="296">
        <v>1.2238</v>
      </c>
      <c r="Q501" s="281"/>
      <c r="R501" s="281"/>
      <c r="S501" s="281"/>
    </row>
    <row r="502" spans="3:19">
      <c r="C502" s="282">
        <v>5</v>
      </c>
      <c r="D502" s="296">
        <v>2.2629000000000001</v>
      </c>
      <c r="E502" s="296">
        <v>1.1686000000000001</v>
      </c>
      <c r="F502" s="296">
        <v>2.7408999999999999</v>
      </c>
      <c r="G502" s="296">
        <v>1.214</v>
      </c>
      <c r="H502" s="281"/>
      <c r="I502" s="281"/>
      <c r="J502" s="281"/>
      <c r="L502" s="282">
        <v>5</v>
      </c>
      <c r="M502" s="292">
        <v>2.2629000000000001</v>
      </c>
      <c r="N502" s="299">
        <v>1.1686000000000001</v>
      </c>
      <c r="O502" s="299">
        <v>2.7408999999999999</v>
      </c>
      <c r="P502" s="296">
        <v>1.214</v>
      </c>
      <c r="Q502" s="281"/>
      <c r="R502" s="281"/>
      <c r="S502" s="281"/>
    </row>
    <row r="503" spans="3:19">
      <c r="C503" s="282">
        <v>6</v>
      </c>
      <c r="D503" s="296">
        <v>2.1581999999999999</v>
      </c>
      <c r="E503" s="296">
        <v>1.1608000000000001</v>
      </c>
      <c r="F503" s="296">
        <v>2.6141000000000001</v>
      </c>
      <c r="G503" s="296">
        <v>1.2040999999999999</v>
      </c>
      <c r="H503" s="281"/>
      <c r="I503" s="281"/>
      <c r="J503" s="281"/>
      <c r="L503" s="282">
        <v>6</v>
      </c>
      <c r="M503" s="292">
        <v>2.1581999999999999</v>
      </c>
      <c r="N503" s="299">
        <v>1.1608000000000001</v>
      </c>
      <c r="O503" s="299">
        <v>2.6141000000000001</v>
      </c>
      <c r="P503" s="296">
        <v>1.2040999999999999</v>
      </c>
      <c r="Q503" s="281"/>
      <c r="R503" s="281"/>
      <c r="S503" s="281"/>
    </row>
    <row r="504" spans="3:19">
      <c r="C504" s="282">
        <v>7</v>
      </c>
      <c r="D504" s="296">
        <v>2.0526</v>
      </c>
      <c r="E504" s="296">
        <v>1.153</v>
      </c>
      <c r="F504" s="296">
        <v>2.4863</v>
      </c>
      <c r="G504" s="296">
        <v>1.1940999999999999</v>
      </c>
      <c r="H504" s="281"/>
      <c r="I504" s="281"/>
      <c r="J504" s="281"/>
      <c r="L504" s="282">
        <v>7</v>
      </c>
      <c r="M504" s="292">
        <v>2.0526</v>
      </c>
      <c r="N504" s="299">
        <v>1.153</v>
      </c>
      <c r="O504" s="299">
        <v>2.4863</v>
      </c>
      <c r="P504" s="296">
        <v>1.1940999999999999</v>
      </c>
      <c r="Q504" s="281"/>
      <c r="R504" s="281"/>
      <c r="S504" s="281"/>
    </row>
    <row r="505" spans="3:19">
      <c r="C505" s="282">
        <v>8</v>
      </c>
      <c r="D505" s="296">
        <v>1.9462999999999999</v>
      </c>
      <c r="E505" s="296">
        <v>1.145</v>
      </c>
      <c r="F505" s="296">
        <v>2.3574999999999999</v>
      </c>
      <c r="G505" s="296">
        <v>1.1839999999999999</v>
      </c>
      <c r="H505" s="281"/>
      <c r="I505" s="281"/>
      <c r="J505" s="281"/>
      <c r="L505" s="282">
        <v>8</v>
      </c>
      <c r="M505" s="292">
        <v>1.9462999999999999</v>
      </c>
      <c r="N505" s="299">
        <v>1.145</v>
      </c>
      <c r="O505" s="299">
        <v>2.3574999999999999</v>
      </c>
      <c r="P505" s="296">
        <v>1.1839999999999999</v>
      </c>
      <c r="Q505" s="281"/>
      <c r="R505" s="281"/>
      <c r="S505" s="281"/>
    </row>
    <row r="506" spans="3:19">
      <c r="C506" s="282">
        <v>9</v>
      </c>
      <c r="D506" s="296">
        <v>1.8391</v>
      </c>
      <c r="E506" s="296">
        <v>1.137</v>
      </c>
      <c r="F506" s="296">
        <v>2.2275999999999998</v>
      </c>
      <c r="G506" s="296">
        <v>1.1738999999999999</v>
      </c>
      <c r="H506" s="281"/>
      <c r="I506" s="281"/>
      <c r="J506" s="281"/>
      <c r="L506" s="282">
        <v>9</v>
      </c>
      <c r="M506" s="292">
        <v>1.8391</v>
      </c>
      <c r="N506" s="299">
        <v>1.137</v>
      </c>
      <c r="O506" s="299">
        <v>2.2275999999999998</v>
      </c>
      <c r="P506" s="296">
        <v>1.1738999999999999</v>
      </c>
      <c r="Q506" s="281"/>
      <c r="R506" s="281"/>
      <c r="S506" s="281"/>
    </row>
    <row r="507" spans="3:19">
      <c r="C507" s="282">
        <v>10</v>
      </c>
      <c r="D507" s="296">
        <v>1.7310000000000001</v>
      </c>
      <c r="E507" s="296">
        <v>1.129</v>
      </c>
      <c r="F507" s="296">
        <v>2.0966999999999998</v>
      </c>
      <c r="G507" s="296">
        <v>1.1637</v>
      </c>
      <c r="H507" s="281"/>
      <c r="I507" s="281"/>
      <c r="J507" s="281"/>
      <c r="L507" s="282">
        <v>10</v>
      </c>
      <c r="M507" s="292">
        <v>1.7310000000000001</v>
      </c>
      <c r="N507" s="299">
        <v>1.129</v>
      </c>
      <c r="O507" s="299">
        <v>2.0966999999999998</v>
      </c>
      <c r="P507" s="296">
        <v>1.1637</v>
      </c>
      <c r="Q507" s="281"/>
      <c r="R507" s="281"/>
      <c r="S507" s="281"/>
    </row>
    <row r="508" spans="3:19">
      <c r="C508" s="282">
        <v>11</v>
      </c>
      <c r="D508" s="296">
        <v>1.6220000000000001</v>
      </c>
      <c r="E508" s="296">
        <v>1.1209</v>
      </c>
      <c r="F508" s="296">
        <v>1.9646999999999999</v>
      </c>
      <c r="G508" s="296">
        <v>1.1534</v>
      </c>
      <c r="H508" s="281"/>
      <c r="I508" s="281"/>
      <c r="J508" s="281"/>
      <c r="L508" s="282">
        <v>11</v>
      </c>
      <c r="M508" s="292">
        <v>1.6220000000000001</v>
      </c>
      <c r="N508" s="299">
        <v>1.1209</v>
      </c>
      <c r="O508" s="299">
        <v>1.9646999999999999</v>
      </c>
      <c r="P508" s="296">
        <v>1.1534</v>
      </c>
      <c r="Q508" s="281"/>
      <c r="R508" s="281"/>
      <c r="S508" s="281"/>
    </row>
    <row r="509" spans="3:19">
      <c r="C509" s="282">
        <v>12</v>
      </c>
      <c r="D509" s="296">
        <v>1.5122</v>
      </c>
      <c r="E509" s="296">
        <v>1.1127</v>
      </c>
      <c r="F509" s="296">
        <v>1.8317000000000001</v>
      </c>
      <c r="G509" s="296">
        <v>1.143</v>
      </c>
      <c r="H509" s="281"/>
      <c r="I509" s="281"/>
      <c r="J509" s="281"/>
      <c r="L509" s="282">
        <v>12</v>
      </c>
      <c r="M509" s="292">
        <v>1.5122</v>
      </c>
      <c r="N509" s="299">
        <v>1.1127</v>
      </c>
      <c r="O509" s="299">
        <v>1.8317000000000001</v>
      </c>
      <c r="P509" s="296">
        <v>1.143</v>
      </c>
      <c r="Q509" s="281"/>
      <c r="R509" s="281"/>
      <c r="S509" s="281"/>
    </row>
    <row r="510" spans="3:19">
      <c r="C510" s="282">
        <v>13</v>
      </c>
      <c r="D510" s="296">
        <v>1.4015</v>
      </c>
      <c r="E510" s="296">
        <v>1.1044</v>
      </c>
      <c r="F510" s="296">
        <v>1.6976</v>
      </c>
      <c r="G510" s="296">
        <v>1.1325000000000001</v>
      </c>
      <c r="H510" s="281"/>
      <c r="I510" s="281"/>
      <c r="J510" s="281"/>
      <c r="L510" s="282">
        <v>13</v>
      </c>
      <c r="M510" s="292">
        <v>1.4015</v>
      </c>
      <c r="N510" s="299">
        <v>1.1044</v>
      </c>
      <c r="O510" s="299">
        <v>1.6976</v>
      </c>
      <c r="P510" s="296">
        <v>1.1325000000000001</v>
      </c>
      <c r="Q510" s="281"/>
      <c r="R510" s="281"/>
      <c r="S510" s="281"/>
    </row>
    <row r="511" spans="3:19">
      <c r="C511" s="282">
        <v>14</v>
      </c>
      <c r="D511" s="296">
        <v>1.2899</v>
      </c>
      <c r="E511" s="296">
        <v>1.0961000000000001</v>
      </c>
      <c r="F511" s="296">
        <v>1.5624</v>
      </c>
      <c r="G511" s="296">
        <v>1.1218999999999999</v>
      </c>
      <c r="H511" s="281"/>
      <c r="I511" s="281"/>
      <c r="J511" s="281"/>
      <c r="L511" s="282">
        <v>14</v>
      </c>
      <c r="M511" s="292">
        <v>1.2899</v>
      </c>
      <c r="N511" s="299">
        <v>1.0961000000000001</v>
      </c>
      <c r="O511" s="299">
        <v>1.5624</v>
      </c>
      <c r="P511" s="296">
        <v>1.1218999999999999</v>
      </c>
      <c r="Q511" s="281"/>
      <c r="R511" s="281"/>
      <c r="S511" s="281"/>
    </row>
    <row r="512" spans="3:19">
      <c r="C512" s="282">
        <v>15</v>
      </c>
      <c r="D512" s="296">
        <v>1.1773</v>
      </c>
      <c r="E512" s="296">
        <v>1.0876999999999999</v>
      </c>
      <c r="F512" s="296">
        <v>1.4260999999999999</v>
      </c>
      <c r="G512" s="296">
        <v>1.1113</v>
      </c>
      <c r="H512" s="281"/>
      <c r="I512" s="281"/>
      <c r="J512" s="281"/>
      <c r="L512" s="282">
        <v>15</v>
      </c>
      <c r="M512" s="292">
        <v>1.1773</v>
      </c>
      <c r="N512" s="299">
        <v>1.0876999999999999</v>
      </c>
      <c r="O512" s="299">
        <v>1.4260999999999999</v>
      </c>
      <c r="P512" s="296">
        <v>1.1113</v>
      </c>
      <c r="Q512" s="281"/>
      <c r="R512" s="281"/>
      <c r="S512" s="281"/>
    </row>
    <row r="513" spans="3:19">
      <c r="C513" s="282">
        <v>16</v>
      </c>
      <c r="D513" s="296">
        <v>1.0639000000000001</v>
      </c>
      <c r="E513" s="296">
        <v>1.0792999999999999</v>
      </c>
      <c r="F513" s="296">
        <v>1.2887</v>
      </c>
      <c r="G513" s="296">
        <v>1.1006</v>
      </c>
      <c r="H513" s="281"/>
      <c r="I513" s="281"/>
      <c r="J513" s="281"/>
      <c r="L513" s="282">
        <v>16</v>
      </c>
      <c r="M513" s="292">
        <v>1.0639000000000001</v>
      </c>
      <c r="N513" s="299">
        <v>1.0792999999999999</v>
      </c>
      <c r="O513" s="299">
        <v>1.2887</v>
      </c>
      <c r="P513" s="296">
        <v>1.1006</v>
      </c>
      <c r="Q513" s="281"/>
      <c r="R513" s="281"/>
      <c r="S513" s="281"/>
    </row>
    <row r="514" spans="3:19">
      <c r="C514" s="282">
        <v>17</v>
      </c>
      <c r="D514" s="296">
        <v>0.94950000000000001</v>
      </c>
      <c r="E514" s="296">
        <v>1.0707</v>
      </c>
      <c r="F514" s="296">
        <v>1.1500999999999999</v>
      </c>
      <c r="G514" s="296">
        <v>1.0898000000000001</v>
      </c>
      <c r="H514" s="281"/>
      <c r="I514" s="281"/>
      <c r="J514" s="281"/>
      <c r="L514" s="282">
        <v>17</v>
      </c>
      <c r="M514" s="292">
        <v>0.94950000000000001</v>
      </c>
      <c r="N514" s="299">
        <v>1.0707</v>
      </c>
      <c r="O514" s="299">
        <v>1.1500999999999999</v>
      </c>
      <c r="P514" s="296">
        <v>1.0898000000000001</v>
      </c>
      <c r="Q514" s="281"/>
      <c r="R514" s="281"/>
      <c r="S514" s="281"/>
    </row>
    <row r="515" spans="3:19">
      <c r="C515" s="282">
        <v>18</v>
      </c>
      <c r="D515" s="296">
        <v>0.83420000000000005</v>
      </c>
      <c r="E515" s="296">
        <v>1.0621</v>
      </c>
      <c r="F515" s="296">
        <v>1.0105</v>
      </c>
      <c r="G515" s="296">
        <v>1.0789</v>
      </c>
      <c r="H515" s="281"/>
      <c r="I515" s="281"/>
      <c r="J515" s="281"/>
      <c r="L515" s="282">
        <v>18</v>
      </c>
      <c r="M515" s="292">
        <v>0.83420000000000005</v>
      </c>
      <c r="N515" s="299">
        <v>1.0621</v>
      </c>
      <c r="O515" s="299">
        <v>1.0105</v>
      </c>
      <c r="P515" s="296">
        <v>1.0789</v>
      </c>
      <c r="Q515" s="281"/>
      <c r="R515" s="281"/>
      <c r="S515" s="281"/>
    </row>
    <row r="516" spans="3:19">
      <c r="C516" s="282">
        <v>19</v>
      </c>
      <c r="D516" s="296">
        <v>0.71799999999999997</v>
      </c>
      <c r="E516" s="296">
        <v>1.0535000000000001</v>
      </c>
      <c r="F516" s="296">
        <v>0.86970000000000003</v>
      </c>
      <c r="G516" s="296">
        <v>1.0679000000000001</v>
      </c>
      <c r="H516" s="281"/>
      <c r="I516" s="281"/>
      <c r="J516" s="281"/>
      <c r="L516" s="282">
        <v>19</v>
      </c>
      <c r="M516" s="292">
        <v>0.71799999999999997</v>
      </c>
      <c r="N516" s="299">
        <v>1.0535000000000001</v>
      </c>
      <c r="O516" s="299">
        <v>0.86970000000000003</v>
      </c>
      <c r="P516" s="296">
        <v>1.0679000000000001</v>
      </c>
      <c r="Q516" s="281"/>
      <c r="R516" s="281"/>
      <c r="S516" s="281"/>
    </row>
    <row r="517" spans="3:19">
      <c r="C517" s="282">
        <v>20</v>
      </c>
      <c r="D517" s="296">
        <v>0.6008</v>
      </c>
      <c r="E517" s="296">
        <v>1.0447</v>
      </c>
      <c r="F517" s="296">
        <v>0.72770000000000001</v>
      </c>
      <c r="G517" s="296">
        <v>1.0568</v>
      </c>
      <c r="H517" s="281"/>
      <c r="I517" s="281"/>
      <c r="J517" s="281"/>
      <c r="L517" s="282">
        <v>20</v>
      </c>
      <c r="M517" s="292">
        <v>0.6008</v>
      </c>
      <c r="N517" s="299">
        <v>1.0447</v>
      </c>
      <c r="O517" s="299">
        <v>0.72770000000000001</v>
      </c>
      <c r="P517" s="296">
        <v>1.0568</v>
      </c>
      <c r="Q517" s="281"/>
      <c r="R517" s="281"/>
      <c r="S517" s="281"/>
    </row>
    <row r="518" spans="3:19">
      <c r="C518" s="282">
        <v>21</v>
      </c>
      <c r="D518" s="296">
        <v>0.48259999999999997</v>
      </c>
      <c r="E518" s="296">
        <v>1.0359</v>
      </c>
      <c r="F518" s="296">
        <v>0.58450000000000002</v>
      </c>
      <c r="G518" s="296">
        <v>1.0456000000000001</v>
      </c>
      <c r="H518" s="281"/>
      <c r="I518" s="281"/>
      <c r="J518" s="281"/>
      <c r="L518" s="282">
        <v>21</v>
      </c>
      <c r="M518" s="292">
        <v>0.48259999999999997</v>
      </c>
      <c r="N518" s="299">
        <v>1.0359</v>
      </c>
      <c r="O518" s="299">
        <v>0.58450000000000002</v>
      </c>
      <c r="P518" s="296">
        <v>1.0456000000000001</v>
      </c>
      <c r="Q518" s="281"/>
      <c r="R518" s="281"/>
      <c r="S518" s="281"/>
    </row>
    <row r="519" spans="3:19">
      <c r="C519" s="282">
        <v>22</v>
      </c>
      <c r="D519" s="296">
        <v>0.3634</v>
      </c>
      <c r="E519" s="296">
        <v>1.0269999999999999</v>
      </c>
      <c r="F519" s="296">
        <v>0.44019999999999998</v>
      </c>
      <c r="G519" s="296">
        <v>1.0343</v>
      </c>
      <c r="H519" s="281"/>
      <c r="I519" s="281"/>
      <c r="J519" s="281"/>
      <c r="L519" s="282">
        <v>22</v>
      </c>
      <c r="M519" s="292">
        <v>0.3634</v>
      </c>
      <c r="N519" s="299">
        <v>1.0269999999999999</v>
      </c>
      <c r="O519" s="299">
        <v>0.44019999999999998</v>
      </c>
      <c r="P519" s="296">
        <v>1.0343</v>
      </c>
      <c r="Q519" s="281"/>
      <c r="R519" s="281"/>
      <c r="S519" s="281"/>
    </row>
    <row r="520" spans="3:19">
      <c r="C520" s="282">
        <v>23</v>
      </c>
      <c r="D520" s="296">
        <v>0.24329999999999999</v>
      </c>
      <c r="E520" s="296">
        <v>1.0181</v>
      </c>
      <c r="F520" s="296">
        <v>0.29470000000000002</v>
      </c>
      <c r="G520" s="296">
        <v>1.0229999999999999</v>
      </c>
      <c r="H520" s="281"/>
      <c r="I520" s="281"/>
      <c r="J520" s="281"/>
      <c r="L520" s="282">
        <v>23</v>
      </c>
      <c r="M520" s="292">
        <v>0.24329999999999999</v>
      </c>
      <c r="N520" s="299">
        <v>1.0181</v>
      </c>
      <c r="O520" s="299">
        <v>0.29470000000000002</v>
      </c>
      <c r="P520" s="296">
        <v>1.0229999999999999</v>
      </c>
      <c r="Q520" s="281"/>
      <c r="R520" s="281"/>
      <c r="S520" s="281"/>
    </row>
    <row r="521" spans="3:19">
      <c r="C521" s="282">
        <v>24</v>
      </c>
      <c r="D521" s="296">
        <v>0.1221</v>
      </c>
      <c r="E521" s="296">
        <v>1.0091000000000001</v>
      </c>
      <c r="F521" s="296">
        <v>0.1479</v>
      </c>
      <c r="G521" s="296">
        <v>1.0115000000000001</v>
      </c>
      <c r="H521" s="281"/>
      <c r="I521" s="281"/>
      <c r="J521" s="281"/>
      <c r="L521" s="282">
        <v>24</v>
      </c>
      <c r="M521" s="292">
        <v>0.1221</v>
      </c>
      <c r="N521" s="299">
        <v>1.0091000000000001</v>
      </c>
      <c r="O521" s="299">
        <v>0.1479</v>
      </c>
      <c r="P521" s="296">
        <v>1.0115000000000001</v>
      </c>
      <c r="Q521" s="281"/>
      <c r="R521" s="281"/>
      <c r="S521" s="281"/>
    </row>
    <row r="522" spans="3:19">
      <c r="C522" s="282">
        <v>25</v>
      </c>
      <c r="D522" s="296">
        <v>0</v>
      </c>
      <c r="E522" s="296">
        <v>1</v>
      </c>
      <c r="F522" s="296">
        <v>0</v>
      </c>
      <c r="G522" s="296">
        <v>1</v>
      </c>
      <c r="H522" s="281"/>
      <c r="I522" s="281"/>
      <c r="J522" s="281"/>
      <c r="L522" s="282">
        <v>25</v>
      </c>
      <c r="M522" s="292">
        <v>0</v>
      </c>
      <c r="N522" s="299">
        <v>1</v>
      </c>
      <c r="O522" s="299">
        <v>0</v>
      </c>
      <c r="P522" s="296">
        <v>1</v>
      </c>
      <c r="Q522" s="281"/>
      <c r="R522" s="281"/>
      <c r="S522" s="281"/>
    </row>
    <row r="523" spans="3:19">
      <c r="C523" s="281"/>
      <c r="D523" s="281"/>
      <c r="E523" s="281"/>
      <c r="F523" s="281"/>
      <c r="G523" s="281"/>
      <c r="H523" s="281"/>
      <c r="I523" s="281"/>
      <c r="J523" s="281"/>
    </row>
  </sheetData>
  <mergeCells count="14">
    <mergeCell ref="C480:J480"/>
    <mergeCell ref="L480:S480"/>
    <mergeCell ref="D83:F83"/>
    <mergeCell ref="D84:E84"/>
    <mergeCell ref="D85:E85"/>
    <mergeCell ref="D86:F86"/>
    <mergeCell ref="D87:E87"/>
    <mergeCell ref="D88:E88"/>
    <mergeCell ref="E23:F23"/>
    <mergeCell ref="G23:G24"/>
    <mergeCell ref="H23:I23"/>
    <mergeCell ref="E55:F55"/>
    <mergeCell ref="H55:I55"/>
    <mergeCell ref="M69:P69"/>
  </mergeCells>
  <conditionalFormatting sqref="F101">
    <cfRule type="colorScale" priority="1">
      <colorScale>
        <cfvo type="min"/>
        <cfvo type="max"/>
        <color rgb="FFFFEF9C"/>
        <color rgb="FF63BE7B"/>
      </colorScale>
    </cfRule>
  </conditionalFormatting>
  <conditionalFormatting sqref="E101:E158">
    <cfRule type="colorScale" priority="2">
      <colorScale>
        <cfvo type="min"/>
        <cfvo type="max"/>
        <color rgb="FFFFEF9C"/>
        <color rgb="FF63BE7B"/>
      </colorScale>
    </cfRule>
  </conditionalFormatting>
  <conditionalFormatting sqref="F102:F158">
    <cfRule type="colorScale" priority="3">
      <colorScale>
        <cfvo type="min"/>
        <cfvo type="max"/>
        <color rgb="FFFFEF9C"/>
        <color rgb="FF63BE7B"/>
      </colorScale>
    </cfRule>
  </conditionalFormatting>
  <conditionalFormatting sqref="G101:G15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">
      <colorScale>
        <cfvo type="min"/>
        <cfvo type="max"/>
        <color rgb="FFFFEF9C"/>
        <color rgb="FF63BE7B"/>
      </colorScale>
    </cfRule>
  </conditionalFormatting>
  <dataValidations count="1">
    <dataValidation type="list" allowBlank="1" showInputMessage="1" showErrorMessage="1" sqref="C20" xr:uid="{78AD9612-C336-43CB-8C5F-8C66EBCAA7AA}">
      <formula1>$B$482:$B$483</formula1>
    </dataValidation>
  </dataValidations>
  <hyperlinks>
    <hyperlink ref="B95" r:id="rId1" xr:uid="{36731734-35A1-4073-9CAB-3184092FEA94}"/>
  </hyperlinks>
  <pageMargins left="0.25" right="0.25" top="0.75" bottom="0.75" header="0.3" footer="0.3"/>
  <pageSetup scale="7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CEEF-CE0B-4294-A9E8-974CB122A478}">
  <sheetPr>
    <tabColor rgb="FF002060"/>
  </sheetPr>
  <dimension ref="A1"/>
  <sheetViews>
    <sheetView zoomScale="60" zoomScaleNormal="60" workbookViewId="0">
      <selection activeCell="AI36" sqref="AI36"/>
    </sheetView>
  </sheetViews>
  <sheetFormatPr defaultRowHeight="14.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65B5-B7F3-416C-9136-2366992DE2F2}">
  <sheetPr>
    <tabColor rgb="FF002060"/>
  </sheetPr>
  <dimension ref="A1"/>
  <sheetViews>
    <sheetView zoomScale="55" zoomScaleNormal="55" workbookViewId="0">
      <selection activeCell="A14" sqref="A14"/>
    </sheetView>
  </sheetViews>
  <sheetFormatPr defaultRowHeight="14.4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41A3D-BB03-4B68-9FF8-7B5A62896D5B}">
  <sheetPr>
    <tabColor rgb="FF002060"/>
    <pageSetUpPr fitToPage="1"/>
  </sheetPr>
  <dimension ref="A1:J12"/>
  <sheetViews>
    <sheetView zoomScaleNormal="100" workbookViewId="0">
      <selection activeCell="K19" sqref="K19"/>
    </sheetView>
  </sheetViews>
  <sheetFormatPr defaultColWidth="9.109375" defaultRowHeight="14.4"/>
  <cols>
    <col min="1" max="1" width="9.109375" style="86"/>
    <col min="2" max="5" width="8.77734375" style="86" customWidth="1"/>
    <col min="6" max="8" width="13.5546875" style="86" bestFit="1" customWidth="1"/>
    <col min="9" max="9" width="13.44140625" style="86" bestFit="1" customWidth="1"/>
    <col min="10" max="16384" width="9.109375" style="86"/>
  </cols>
  <sheetData>
    <row r="1" spans="1:10" ht="15" thickBot="1"/>
    <row r="2" spans="1:10">
      <c r="A2" s="87"/>
      <c r="B2" s="88" t="s">
        <v>394</v>
      </c>
      <c r="C2" s="89"/>
      <c r="D2" s="89"/>
      <c r="E2" s="89"/>
      <c r="F2" s="89"/>
      <c r="G2" s="89"/>
      <c r="H2" s="89"/>
      <c r="I2" s="90"/>
      <c r="J2" s="91"/>
    </row>
    <row r="3" spans="1:10">
      <c r="A3" s="87"/>
      <c r="B3" s="92" t="s">
        <v>395</v>
      </c>
      <c r="C3" s="93"/>
      <c r="D3" s="93"/>
      <c r="E3" s="93"/>
      <c r="F3" s="94" t="s">
        <v>396</v>
      </c>
      <c r="G3" s="94"/>
      <c r="H3" s="94"/>
      <c r="I3" s="95"/>
      <c r="J3" s="91"/>
    </row>
    <row r="4" spans="1:10">
      <c r="A4" s="87"/>
      <c r="B4" s="92"/>
      <c r="C4" s="93"/>
      <c r="D4" s="93"/>
      <c r="E4" s="93"/>
      <c r="F4" s="96" t="s">
        <v>53</v>
      </c>
      <c r="G4" s="96" t="s">
        <v>64</v>
      </c>
      <c r="H4" s="96" t="s">
        <v>397</v>
      </c>
      <c r="I4" s="97" t="s">
        <v>398</v>
      </c>
      <c r="J4" s="91"/>
    </row>
    <row r="5" spans="1:10" ht="28.8">
      <c r="A5" s="87"/>
      <c r="B5" s="98" t="s">
        <v>399</v>
      </c>
      <c r="C5" s="99"/>
      <c r="D5" s="99"/>
      <c r="E5" s="99"/>
      <c r="F5" s="100" t="s">
        <v>400</v>
      </c>
      <c r="G5" s="101"/>
      <c r="H5" s="101"/>
      <c r="I5" s="102"/>
      <c r="J5" s="91"/>
    </row>
    <row r="6" spans="1:10" ht="28.8">
      <c r="A6" s="87"/>
      <c r="B6" s="98" t="s">
        <v>401</v>
      </c>
      <c r="C6" s="99"/>
      <c r="D6" s="99"/>
      <c r="E6" s="99"/>
      <c r="F6" s="100" t="s">
        <v>400</v>
      </c>
      <c r="G6" s="100" t="s">
        <v>400</v>
      </c>
      <c r="H6" s="100" t="s">
        <v>400</v>
      </c>
      <c r="I6" s="102"/>
      <c r="J6" s="91"/>
    </row>
    <row r="7" spans="1:10" ht="28.8">
      <c r="A7" s="87"/>
      <c r="B7" s="98" t="s">
        <v>402</v>
      </c>
      <c r="C7" s="99"/>
      <c r="D7" s="99"/>
      <c r="E7" s="99"/>
      <c r="F7" s="100" t="s">
        <v>403</v>
      </c>
      <c r="G7" s="101"/>
      <c r="H7" s="101"/>
      <c r="I7" s="102"/>
      <c r="J7" s="91"/>
    </row>
    <row r="8" spans="1:10" ht="28.8">
      <c r="A8" s="87"/>
      <c r="B8" s="98" t="s">
        <v>404</v>
      </c>
      <c r="C8" s="99"/>
      <c r="D8" s="99"/>
      <c r="E8" s="99"/>
      <c r="F8" s="100" t="s">
        <v>403</v>
      </c>
      <c r="G8" s="101"/>
      <c r="H8" s="100" t="s">
        <v>403</v>
      </c>
      <c r="I8" s="102"/>
      <c r="J8" s="91"/>
    </row>
    <row r="9" spans="1:10" ht="28.8">
      <c r="A9" s="87"/>
      <c r="B9" s="98" t="s">
        <v>405</v>
      </c>
      <c r="C9" s="99"/>
      <c r="D9" s="99"/>
      <c r="E9" s="99"/>
      <c r="F9" s="101"/>
      <c r="G9" s="100" t="s">
        <v>403</v>
      </c>
      <c r="H9" s="100" t="s">
        <v>403</v>
      </c>
      <c r="I9" s="103" t="s">
        <v>403</v>
      </c>
      <c r="J9" s="91"/>
    </row>
    <row r="10" spans="1:10" ht="28.8">
      <c r="A10" s="87"/>
      <c r="B10" s="98" t="s">
        <v>406</v>
      </c>
      <c r="C10" s="99"/>
      <c r="D10" s="99"/>
      <c r="E10" s="99"/>
      <c r="F10" s="100" t="s">
        <v>403</v>
      </c>
      <c r="G10" s="101"/>
      <c r="H10" s="101"/>
      <c r="I10" s="102"/>
      <c r="J10" s="91"/>
    </row>
    <row r="11" spans="1:10" ht="29.4" thickBot="1">
      <c r="A11" s="87"/>
      <c r="B11" s="104" t="s">
        <v>407</v>
      </c>
      <c r="C11" s="105"/>
      <c r="D11" s="105"/>
      <c r="E11" s="105"/>
      <c r="F11" s="106" t="s">
        <v>403</v>
      </c>
      <c r="G11" s="106" t="s">
        <v>403</v>
      </c>
      <c r="H11" s="106" t="s">
        <v>403</v>
      </c>
      <c r="I11" s="107" t="s">
        <v>403</v>
      </c>
      <c r="J11" s="91"/>
    </row>
    <row r="12" spans="1:10">
      <c r="B12" s="108"/>
      <c r="C12" s="108"/>
      <c r="D12" s="108"/>
      <c r="E12" s="108"/>
      <c r="F12" s="108"/>
      <c r="G12" s="108"/>
      <c r="H12" s="108"/>
      <c r="I12" s="108"/>
    </row>
  </sheetData>
  <mergeCells count="10">
    <mergeCell ref="B8:E8"/>
    <mergeCell ref="B9:E9"/>
    <mergeCell ref="B10:E10"/>
    <mergeCell ref="B11:E11"/>
    <mergeCell ref="B2:I2"/>
    <mergeCell ref="B3:E4"/>
    <mergeCell ref="F3:I3"/>
    <mergeCell ref="B5:E5"/>
    <mergeCell ref="B6:E6"/>
    <mergeCell ref="B7:E7"/>
  </mergeCells>
  <printOptions horizontalCentered="1"/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D16CA-9DE7-4B39-B2C3-55F658576DAE}">
  <sheetPr>
    <tabColor rgb="FF002060"/>
  </sheetPr>
  <dimension ref="A3:K47"/>
  <sheetViews>
    <sheetView zoomScale="85" zoomScaleNormal="85" workbookViewId="0">
      <selection activeCell="A28" sqref="A28"/>
    </sheetView>
  </sheetViews>
  <sheetFormatPr defaultRowHeight="14.4"/>
  <cols>
    <col min="1" max="1" width="16.6640625" customWidth="1"/>
    <col min="6" max="6" width="15.5546875" customWidth="1"/>
  </cols>
  <sheetData>
    <row r="3" spans="1:11">
      <c r="D3" t="s">
        <v>361</v>
      </c>
      <c r="E3">
        <v>2000</v>
      </c>
      <c r="F3" t="s">
        <v>362</v>
      </c>
    </row>
    <row r="4" spans="1:11" ht="15" thickBot="1"/>
    <row r="5" spans="1:11">
      <c r="A5" s="74"/>
      <c r="B5" s="75" t="s">
        <v>363</v>
      </c>
      <c r="C5" s="75"/>
      <c r="D5" s="75"/>
      <c r="E5" s="75"/>
      <c r="F5" s="76"/>
      <c r="H5">
        <v>1.1000000000000001</v>
      </c>
      <c r="I5" t="s">
        <v>364</v>
      </c>
      <c r="J5" t="s">
        <v>365</v>
      </c>
    </row>
    <row r="6" spans="1:11">
      <c r="A6" s="77" t="s">
        <v>366</v>
      </c>
      <c r="B6">
        <v>0.5</v>
      </c>
      <c r="C6" t="s">
        <v>367</v>
      </c>
      <c r="D6" t="s">
        <v>368</v>
      </c>
      <c r="F6" s="78"/>
    </row>
    <row r="7" spans="1:11">
      <c r="A7" s="77"/>
      <c r="F7" s="78"/>
    </row>
    <row r="8" spans="1:11">
      <c r="A8" s="77"/>
      <c r="F8" s="78"/>
      <c r="I8">
        <v>1.1000000000000001</v>
      </c>
      <c r="J8">
        <v>6</v>
      </c>
      <c r="K8">
        <f>I8*J8</f>
        <v>6.6000000000000005</v>
      </c>
    </row>
    <row r="9" spans="1:11">
      <c r="A9" s="77"/>
      <c r="E9">
        <v>2000</v>
      </c>
      <c r="F9" s="78" t="s">
        <v>362</v>
      </c>
    </row>
    <row r="10" spans="1:11">
      <c r="A10" s="77"/>
      <c r="F10" s="78"/>
    </row>
    <row r="11" spans="1:11">
      <c r="A11" s="77" t="s">
        <v>369</v>
      </c>
      <c r="B11" s="79">
        <v>300</v>
      </c>
      <c r="F11" s="78"/>
    </row>
    <row r="12" spans="1:11">
      <c r="A12" s="77" t="s">
        <v>370</v>
      </c>
      <c r="B12">
        <f>B11/E9</f>
        <v>0.15</v>
      </c>
      <c r="F12" s="78"/>
    </row>
    <row r="13" spans="1:11">
      <c r="A13" s="77" t="s">
        <v>371</v>
      </c>
      <c r="B13">
        <v>227</v>
      </c>
      <c r="C13" t="s">
        <v>372</v>
      </c>
      <c r="F13" s="78"/>
    </row>
    <row r="14" spans="1:11">
      <c r="A14" s="77" t="s">
        <v>373</v>
      </c>
      <c r="B14">
        <f>B13*B12</f>
        <v>34.049999999999997</v>
      </c>
      <c r="F14" s="78"/>
    </row>
    <row r="15" spans="1:11" ht="15" thickBot="1">
      <c r="A15" s="80"/>
      <c r="B15" s="81"/>
      <c r="C15" s="81"/>
      <c r="D15" s="81"/>
      <c r="E15" s="81"/>
      <c r="F15" s="82"/>
    </row>
    <row r="16" spans="1:11" ht="15" thickBot="1"/>
    <row r="17" spans="1:6">
      <c r="A17" s="74"/>
      <c r="B17" s="75" t="s">
        <v>374</v>
      </c>
      <c r="C17" s="75"/>
      <c r="D17" s="75"/>
      <c r="E17" s="75"/>
      <c r="F17" s="76"/>
    </row>
    <row r="18" spans="1:6">
      <c r="A18" s="77" t="s">
        <v>366</v>
      </c>
      <c r="F18" s="78"/>
    </row>
    <row r="19" spans="1:6">
      <c r="A19" s="77" t="s">
        <v>375</v>
      </c>
      <c r="C19" t="s">
        <v>376</v>
      </c>
      <c r="F19" s="78"/>
    </row>
    <row r="20" spans="1:6">
      <c r="A20" s="77" t="s">
        <v>377</v>
      </c>
      <c r="C20" t="s">
        <v>378</v>
      </c>
      <c r="F20" s="78"/>
    </row>
    <row r="21" spans="1:6">
      <c r="A21" s="77"/>
      <c r="F21" s="78"/>
    </row>
    <row r="22" spans="1:6">
      <c r="A22" s="77"/>
      <c r="C22">
        <v>325</v>
      </c>
      <c r="D22" s="78"/>
      <c r="E22" s="83" t="s">
        <v>379</v>
      </c>
    </row>
    <row r="23" spans="1:6">
      <c r="A23" s="77" t="s">
        <v>380</v>
      </c>
      <c r="B23" s="79">
        <v>18</v>
      </c>
      <c r="C23">
        <v>90</v>
      </c>
      <c r="D23" s="78"/>
      <c r="E23" t="s">
        <v>381</v>
      </c>
    </row>
    <row r="24" spans="1:6">
      <c r="A24" s="77"/>
      <c r="C24">
        <f>C22/C23</f>
        <v>3.6111111111111112</v>
      </c>
      <c r="D24" s="78"/>
      <c r="E24" t="s">
        <v>382</v>
      </c>
    </row>
    <row r="25" spans="1:6">
      <c r="A25" s="77"/>
      <c r="C25">
        <v>6</v>
      </c>
      <c r="D25" s="78"/>
      <c r="E25" t="s">
        <v>383</v>
      </c>
    </row>
    <row r="26" spans="1:6">
      <c r="A26" s="77"/>
      <c r="C26">
        <f>C24*C25</f>
        <v>21.666666666666668</v>
      </c>
      <c r="D26" t="s">
        <v>384</v>
      </c>
      <c r="F26" s="78"/>
    </row>
    <row r="27" spans="1:6" ht="15" thickBot="1">
      <c r="A27" s="80"/>
      <c r="B27" s="81"/>
      <c r="C27" s="81"/>
      <c r="D27" s="81"/>
      <c r="E27" s="81"/>
      <c r="F27" s="82"/>
    </row>
    <row r="28" spans="1:6">
      <c r="A28" t="s">
        <v>385</v>
      </c>
    </row>
    <row r="32" spans="1:6">
      <c r="A32">
        <v>90</v>
      </c>
      <c r="B32" t="s">
        <v>386</v>
      </c>
    </row>
    <row r="33" spans="1:6">
      <c r="A33">
        <v>4</v>
      </c>
      <c r="B33" t="s">
        <v>387</v>
      </c>
    </row>
    <row r="34" spans="1:6">
      <c r="A34">
        <f>A32/A33</f>
        <v>22.5</v>
      </c>
      <c r="B34" t="s">
        <v>388</v>
      </c>
    </row>
    <row r="35" spans="1:6">
      <c r="A35">
        <v>6</v>
      </c>
      <c r="B35" t="s">
        <v>389</v>
      </c>
    </row>
    <row r="36" spans="1:6">
      <c r="A36">
        <f>A34/A35</f>
        <v>3.75</v>
      </c>
      <c r="B36" t="s">
        <v>390</v>
      </c>
    </row>
    <row r="37" spans="1:6">
      <c r="A37">
        <v>5</v>
      </c>
      <c r="B37" t="s">
        <v>391</v>
      </c>
    </row>
    <row r="38" spans="1:6">
      <c r="A38">
        <f>A36*A37</f>
        <v>18.75</v>
      </c>
      <c r="B38" t="s">
        <v>392</v>
      </c>
    </row>
    <row r="39" spans="1:6">
      <c r="A39">
        <v>15.5</v>
      </c>
      <c r="B39" t="s">
        <v>393</v>
      </c>
    </row>
    <row r="44" spans="1:6">
      <c r="C44" s="84"/>
      <c r="D44" s="84"/>
      <c r="E44" s="84"/>
      <c r="F44" s="84"/>
    </row>
    <row r="47" spans="1:6">
      <c r="E47" s="8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B5F1-B58F-46FD-849F-EC58B106A9A1}">
  <sheetPr>
    <tabColor rgb="FF002060"/>
  </sheetPr>
  <dimension ref="A1:H118"/>
  <sheetViews>
    <sheetView topLeftCell="A5" zoomScale="85" zoomScaleNormal="85" workbookViewId="0">
      <selection activeCell="G3" sqref="G3:G4"/>
    </sheetView>
  </sheetViews>
  <sheetFormatPr defaultColWidth="43.88671875" defaultRowHeight="13.2"/>
  <cols>
    <col min="1" max="1" width="19.5546875" style="1" customWidth="1"/>
    <col min="2" max="2" width="33.88671875" style="1" customWidth="1"/>
    <col min="3" max="3" width="12.33203125" style="1" customWidth="1"/>
    <col min="4" max="4" width="19.88671875" style="1" customWidth="1"/>
    <col min="5" max="5" width="17.21875" style="1" customWidth="1"/>
    <col min="6" max="6" width="61.33203125" style="1" customWidth="1"/>
    <col min="7" max="16384" width="43.88671875" style="1"/>
  </cols>
  <sheetData>
    <row r="1" spans="1:8" ht="13.8">
      <c r="A1" s="30" t="s">
        <v>149</v>
      </c>
      <c r="B1" s="31" t="s">
        <v>150</v>
      </c>
      <c r="C1" s="32" t="s">
        <v>151</v>
      </c>
      <c r="D1" s="31" t="s">
        <v>152</v>
      </c>
      <c r="E1" s="31" t="s">
        <v>153</v>
      </c>
      <c r="F1" s="33" t="s">
        <v>154</v>
      </c>
      <c r="H1" s="34" t="s">
        <v>155</v>
      </c>
    </row>
    <row r="2" spans="1:8" ht="14.4" thickBot="1">
      <c r="A2" s="35"/>
      <c r="B2" s="36"/>
      <c r="C2" s="37" t="s">
        <v>156</v>
      </c>
      <c r="D2" s="36"/>
      <c r="E2" s="36"/>
      <c r="F2" s="38"/>
      <c r="H2" s="39"/>
    </row>
    <row r="3" spans="1:8" ht="48.6" customHeight="1">
      <c r="A3" s="40" t="s">
        <v>157</v>
      </c>
      <c r="B3" s="40" t="s">
        <v>158</v>
      </c>
      <c r="C3" s="40" t="s">
        <v>159</v>
      </c>
      <c r="D3" s="41" t="s">
        <v>160</v>
      </c>
      <c r="E3" s="42">
        <v>0.14000000000000001</v>
      </c>
      <c r="F3" s="40" t="s">
        <v>161</v>
      </c>
      <c r="G3" s="43" t="s">
        <v>162</v>
      </c>
      <c r="H3" s="44" t="s">
        <v>163</v>
      </c>
    </row>
    <row r="4" spans="1:8" ht="15.6" customHeight="1" thickBot="1">
      <c r="A4" s="45"/>
      <c r="B4" s="45"/>
      <c r="C4" s="45"/>
      <c r="D4" s="46" t="s">
        <v>164</v>
      </c>
      <c r="E4" s="47"/>
      <c r="F4" s="45"/>
      <c r="G4" s="43"/>
      <c r="H4" s="39"/>
    </row>
    <row r="5" spans="1:8" ht="13.8">
      <c r="A5" s="48" t="s">
        <v>157</v>
      </c>
      <c r="B5" s="48" t="s">
        <v>165</v>
      </c>
      <c r="C5" s="48" t="s">
        <v>159</v>
      </c>
      <c r="D5" s="49" t="s">
        <v>166</v>
      </c>
      <c r="E5" s="50">
        <v>0.16</v>
      </c>
      <c r="F5" s="48" t="s">
        <v>167</v>
      </c>
      <c r="H5" s="39"/>
    </row>
    <row r="6" spans="1:8" ht="14.4" thickBot="1">
      <c r="A6" s="45"/>
      <c r="B6" s="45"/>
      <c r="C6" s="45"/>
      <c r="D6" s="51" t="s">
        <v>168</v>
      </c>
      <c r="E6" s="52"/>
      <c r="F6" s="45"/>
      <c r="H6" s="39"/>
    </row>
    <row r="7" spans="1:8">
      <c r="A7" s="48" t="s">
        <v>157</v>
      </c>
      <c r="B7" s="48" t="s">
        <v>169</v>
      </c>
      <c r="C7" s="48" t="s">
        <v>159</v>
      </c>
      <c r="D7" s="53" t="s">
        <v>170</v>
      </c>
      <c r="E7" s="54">
        <v>0.14000000000000001</v>
      </c>
      <c r="F7" s="48" t="s">
        <v>171</v>
      </c>
      <c r="G7" s="43" t="s">
        <v>172</v>
      </c>
      <c r="H7" s="55" t="s">
        <v>173</v>
      </c>
    </row>
    <row r="8" spans="1:8" ht="16.5" customHeight="1" thickBot="1">
      <c r="A8" s="45"/>
      <c r="B8" s="45"/>
      <c r="C8" s="45"/>
      <c r="D8" s="56" t="s">
        <v>174</v>
      </c>
      <c r="E8" s="47"/>
      <c r="F8" s="45"/>
      <c r="G8" s="43"/>
      <c r="H8" s="55"/>
    </row>
    <row r="9" spans="1:8" ht="14.25" customHeight="1">
      <c r="A9" s="48" t="s">
        <v>157</v>
      </c>
      <c r="B9" s="48" t="s">
        <v>175</v>
      </c>
      <c r="C9" s="48" t="s">
        <v>159</v>
      </c>
      <c r="D9" s="57" t="s">
        <v>176</v>
      </c>
      <c r="E9" s="58">
        <v>0.18</v>
      </c>
      <c r="F9" s="48" t="s">
        <v>177</v>
      </c>
      <c r="H9" s="55" t="s">
        <v>178</v>
      </c>
    </row>
    <row r="10" spans="1:8" ht="15" customHeight="1" thickBot="1">
      <c r="A10" s="45"/>
      <c r="B10" s="45"/>
      <c r="C10" s="45"/>
      <c r="D10" s="59" t="s">
        <v>179</v>
      </c>
      <c r="E10" s="60"/>
      <c r="F10" s="45"/>
      <c r="H10" s="55"/>
    </row>
    <row r="11" spans="1:8">
      <c r="A11" s="48" t="s">
        <v>157</v>
      </c>
      <c r="B11" s="48" t="s">
        <v>180</v>
      </c>
      <c r="C11" s="48" t="s">
        <v>159</v>
      </c>
      <c r="D11" s="53" t="s">
        <v>181</v>
      </c>
      <c r="E11" s="58">
        <v>0.18</v>
      </c>
      <c r="F11" s="48" t="s">
        <v>182</v>
      </c>
      <c r="G11" s="43" t="s">
        <v>183</v>
      </c>
      <c r="H11" s="55" t="s">
        <v>184</v>
      </c>
    </row>
    <row r="12" spans="1:8" ht="13.8" thickBot="1">
      <c r="A12" s="45"/>
      <c r="B12" s="45"/>
      <c r="C12" s="45"/>
      <c r="D12" s="56" t="s">
        <v>185</v>
      </c>
      <c r="E12" s="60"/>
      <c r="F12" s="45"/>
      <c r="G12" s="43"/>
      <c r="H12" s="55"/>
    </row>
    <row r="13" spans="1:8" ht="13.8">
      <c r="A13" s="48" t="s">
        <v>157</v>
      </c>
      <c r="B13" s="48" t="s">
        <v>186</v>
      </c>
      <c r="C13" s="48" t="s">
        <v>159</v>
      </c>
      <c r="D13" s="53" t="s">
        <v>187</v>
      </c>
      <c r="E13" s="54">
        <v>0.16</v>
      </c>
      <c r="F13" s="48" t="s">
        <v>188</v>
      </c>
      <c r="H13" s="39"/>
    </row>
    <row r="14" spans="1:8" ht="14.4" thickBot="1">
      <c r="A14" s="45"/>
      <c r="B14" s="45"/>
      <c r="C14" s="45"/>
      <c r="D14" s="56" t="s">
        <v>164</v>
      </c>
      <c r="E14" s="47"/>
      <c r="F14" s="45"/>
      <c r="H14" s="39"/>
    </row>
    <row r="15" spans="1:8">
      <c r="A15" s="48" t="s">
        <v>157</v>
      </c>
      <c r="B15" s="48" t="s">
        <v>189</v>
      </c>
      <c r="C15" s="48" t="s">
        <v>159</v>
      </c>
      <c r="D15" s="53" t="s">
        <v>181</v>
      </c>
      <c r="E15" s="54">
        <v>0.14000000000000001</v>
      </c>
      <c r="F15" s="48" t="s">
        <v>190</v>
      </c>
      <c r="G15" s="43" t="s">
        <v>191</v>
      </c>
      <c r="H15" s="55" t="s">
        <v>192</v>
      </c>
    </row>
    <row r="16" spans="1:8" ht="13.8" thickBot="1">
      <c r="A16" s="45"/>
      <c r="B16" s="45"/>
      <c r="C16" s="45"/>
      <c r="D16" s="56" t="s">
        <v>185</v>
      </c>
      <c r="E16" s="47"/>
      <c r="F16" s="45"/>
      <c r="G16" s="43"/>
      <c r="H16" s="55"/>
    </row>
    <row r="17" spans="1:8">
      <c r="A17" s="48" t="s">
        <v>193</v>
      </c>
      <c r="B17" s="48" t="s">
        <v>194</v>
      </c>
      <c r="C17" s="48" t="s">
        <v>159</v>
      </c>
      <c r="D17" s="53" t="s">
        <v>195</v>
      </c>
      <c r="E17" s="54">
        <v>0.14000000000000001</v>
      </c>
      <c r="F17" s="61" t="s">
        <v>196</v>
      </c>
      <c r="H17" s="55" t="s">
        <v>197</v>
      </c>
    </row>
    <row r="18" spans="1:8" ht="13.8" thickBot="1">
      <c r="A18" s="45"/>
      <c r="B18" s="45"/>
      <c r="C18" s="45"/>
      <c r="D18" s="56" t="s">
        <v>198</v>
      </c>
      <c r="E18" s="47"/>
      <c r="F18" s="62"/>
      <c r="H18" s="55"/>
    </row>
    <row r="19" spans="1:8" ht="12.75" customHeight="1">
      <c r="A19" s="48" t="s">
        <v>193</v>
      </c>
      <c r="B19" s="48" t="s">
        <v>199</v>
      </c>
      <c r="C19" s="48" t="s">
        <v>159</v>
      </c>
      <c r="D19" s="53" t="s">
        <v>200</v>
      </c>
      <c r="E19" s="54">
        <v>0.15</v>
      </c>
      <c r="F19" s="48" t="s">
        <v>201</v>
      </c>
      <c r="H19" s="55" t="s">
        <v>202</v>
      </c>
    </row>
    <row r="20" spans="1:8" ht="13.5" customHeight="1" thickBot="1">
      <c r="A20" s="45"/>
      <c r="B20" s="45"/>
      <c r="C20" s="45"/>
      <c r="D20" s="56" t="s">
        <v>203</v>
      </c>
      <c r="E20" s="47"/>
      <c r="F20" s="45"/>
      <c r="H20" s="55"/>
    </row>
    <row r="21" spans="1:8" ht="12.75" customHeight="1">
      <c r="A21" s="48" t="s">
        <v>193</v>
      </c>
      <c r="B21" s="48" t="s">
        <v>204</v>
      </c>
      <c r="C21" s="48" t="s">
        <v>159</v>
      </c>
      <c r="D21" s="57" t="s">
        <v>205</v>
      </c>
      <c r="E21" s="54">
        <v>0.18</v>
      </c>
      <c r="F21" s="48" t="s">
        <v>206</v>
      </c>
      <c r="H21" s="55" t="s">
        <v>207</v>
      </c>
    </row>
    <row r="22" spans="1:8" ht="13.5" customHeight="1" thickBot="1">
      <c r="A22" s="45"/>
      <c r="B22" s="45"/>
      <c r="C22" s="45"/>
      <c r="D22" s="59" t="s">
        <v>208</v>
      </c>
      <c r="E22" s="47"/>
      <c r="F22" s="45"/>
      <c r="H22" s="55"/>
    </row>
    <row r="23" spans="1:8" ht="12.75" customHeight="1">
      <c r="A23" s="48" t="s">
        <v>193</v>
      </c>
      <c r="B23" s="48" t="s">
        <v>209</v>
      </c>
      <c r="C23" s="48" t="s">
        <v>159</v>
      </c>
      <c r="D23" s="53" t="s">
        <v>210</v>
      </c>
      <c r="E23" s="54">
        <v>0.15</v>
      </c>
      <c r="F23" s="48" t="s">
        <v>211</v>
      </c>
      <c r="H23" s="55" t="s">
        <v>212</v>
      </c>
    </row>
    <row r="24" spans="1:8" ht="13.5" customHeight="1" thickBot="1">
      <c r="A24" s="45"/>
      <c r="B24" s="45"/>
      <c r="C24" s="45"/>
      <c r="D24" s="56" t="s">
        <v>213</v>
      </c>
      <c r="E24" s="47"/>
      <c r="F24" s="45"/>
      <c r="H24" s="55"/>
    </row>
    <row r="25" spans="1:8" ht="12.75" customHeight="1">
      <c r="A25" s="48" t="s">
        <v>193</v>
      </c>
      <c r="B25" s="48" t="s">
        <v>214</v>
      </c>
      <c r="C25" s="48" t="s">
        <v>159</v>
      </c>
      <c r="D25" s="49" t="s">
        <v>215</v>
      </c>
      <c r="E25" s="50">
        <v>0.16</v>
      </c>
      <c r="F25" s="48" t="s">
        <v>216</v>
      </c>
      <c r="H25" s="55" t="s">
        <v>217</v>
      </c>
    </row>
    <row r="26" spans="1:8" ht="13.5" customHeight="1" thickBot="1">
      <c r="A26" s="45"/>
      <c r="B26" s="45"/>
      <c r="C26" s="45"/>
      <c r="D26" s="51" t="s">
        <v>218</v>
      </c>
      <c r="E26" s="52"/>
      <c r="F26" s="45"/>
      <c r="H26" s="55"/>
    </row>
    <row r="27" spans="1:8" ht="12.75" customHeight="1">
      <c r="A27" s="48" t="s">
        <v>219</v>
      </c>
      <c r="B27" s="48" t="s">
        <v>220</v>
      </c>
      <c r="C27" s="48" t="s">
        <v>159</v>
      </c>
      <c r="D27" s="53" t="s">
        <v>221</v>
      </c>
      <c r="E27" s="63">
        <v>0.14499999999999999</v>
      </c>
      <c r="F27" s="48" t="s">
        <v>222</v>
      </c>
      <c r="H27" s="64"/>
    </row>
    <row r="28" spans="1:8" ht="13.5" customHeight="1" thickBot="1">
      <c r="A28" s="45"/>
      <c r="B28" s="45"/>
      <c r="C28" s="45"/>
      <c r="D28" s="56" t="s">
        <v>223</v>
      </c>
      <c r="E28" s="65"/>
      <c r="F28" s="45"/>
      <c r="H28" s="64"/>
    </row>
    <row r="29" spans="1:8" ht="12.75" customHeight="1">
      <c r="A29" s="48" t="s">
        <v>219</v>
      </c>
      <c r="B29" s="48" t="s">
        <v>224</v>
      </c>
      <c r="C29" s="48" t="s">
        <v>159</v>
      </c>
      <c r="D29" s="53" t="s">
        <v>181</v>
      </c>
      <c r="E29" s="54">
        <v>0.13</v>
      </c>
      <c r="F29" s="48" t="s">
        <v>225</v>
      </c>
      <c r="H29" s="39"/>
    </row>
    <row r="30" spans="1:8" ht="13.5" customHeight="1" thickBot="1">
      <c r="A30" s="45"/>
      <c r="B30" s="45"/>
      <c r="C30" s="45"/>
      <c r="D30" s="56" t="s">
        <v>226</v>
      </c>
      <c r="E30" s="47"/>
      <c r="F30" s="45"/>
      <c r="H30" s="66"/>
    </row>
    <row r="31" spans="1:8">
      <c r="A31" s="48" t="s">
        <v>219</v>
      </c>
      <c r="B31" s="48" t="s">
        <v>227</v>
      </c>
      <c r="C31" s="48" t="s">
        <v>159</v>
      </c>
      <c r="D31" s="53" t="s">
        <v>228</v>
      </c>
      <c r="E31" s="54">
        <v>0.18</v>
      </c>
      <c r="F31" s="48" t="s">
        <v>229</v>
      </c>
    </row>
    <row r="32" spans="1:8" ht="13.8" thickBot="1">
      <c r="A32" s="45"/>
      <c r="B32" s="45"/>
      <c r="C32" s="45"/>
      <c r="D32" s="56" t="s">
        <v>230</v>
      </c>
      <c r="E32" s="47"/>
      <c r="F32" s="45"/>
    </row>
    <row r="33" spans="1:6">
      <c r="A33" s="48" t="s">
        <v>219</v>
      </c>
      <c r="B33" s="48" t="s">
        <v>231</v>
      </c>
      <c r="C33" s="48" t="s">
        <v>159</v>
      </c>
      <c r="D33" s="67" t="s">
        <v>232</v>
      </c>
      <c r="E33" s="68">
        <v>0.13500000000000001</v>
      </c>
      <c r="F33" s="48" t="s">
        <v>233</v>
      </c>
    </row>
    <row r="34" spans="1:6" ht="13.8" thickBot="1">
      <c r="A34" s="45"/>
      <c r="B34" s="45"/>
      <c r="C34" s="45"/>
      <c r="D34" s="69" t="s">
        <v>234</v>
      </c>
      <c r="E34" s="70"/>
      <c r="F34" s="45"/>
    </row>
    <row r="35" spans="1:6">
      <c r="A35" s="48" t="s">
        <v>219</v>
      </c>
      <c r="B35" s="48" t="s">
        <v>235</v>
      </c>
      <c r="C35" s="48" t="s">
        <v>159</v>
      </c>
      <c r="D35" s="53" t="s">
        <v>232</v>
      </c>
      <c r="E35" s="48" t="s">
        <v>236</v>
      </c>
      <c r="F35" s="48" t="s">
        <v>237</v>
      </c>
    </row>
    <row r="36" spans="1:6" ht="13.8" thickBot="1">
      <c r="A36" s="45"/>
      <c r="B36" s="45"/>
      <c r="C36" s="45"/>
      <c r="D36" s="56" t="s">
        <v>234</v>
      </c>
      <c r="E36" s="45"/>
      <c r="F36" s="45"/>
    </row>
    <row r="37" spans="1:6">
      <c r="A37" s="48" t="s">
        <v>219</v>
      </c>
      <c r="B37" s="48" t="s">
        <v>238</v>
      </c>
      <c r="C37" s="48" t="s">
        <v>159</v>
      </c>
      <c r="D37" s="53" t="s">
        <v>239</v>
      </c>
      <c r="E37" s="54">
        <v>0.14000000000000001</v>
      </c>
      <c r="F37" s="48" t="s">
        <v>240</v>
      </c>
    </row>
    <row r="38" spans="1:6" ht="13.8" thickBot="1">
      <c r="A38" s="45"/>
      <c r="B38" s="45"/>
      <c r="C38" s="45"/>
      <c r="D38" s="56" t="s">
        <v>241</v>
      </c>
      <c r="E38" s="47"/>
      <c r="F38" s="45"/>
    </row>
    <row r="39" spans="1:6">
      <c r="A39" s="48" t="s">
        <v>219</v>
      </c>
      <c r="B39" s="48" t="s">
        <v>242</v>
      </c>
      <c r="C39" s="48" t="s">
        <v>159</v>
      </c>
      <c r="D39" s="67" t="s">
        <v>232</v>
      </c>
      <c r="E39" s="68">
        <v>0.13500000000000001</v>
      </c>
      <c r="F39" s="48" t="s">
        <v>243</v>
      </c>
    </row>
    <row r="40" spans="1:6" ht="13.8" thickBot="1">
      <c r="A40" s="45"/>
      <c r="B40" s="45"/>
      <c r="C40" s="45"/>
      <c r="D40" s="69" t="s">
        <v>234</v>
      </c>
      <c r="E40" s="70"/>
      <c r="F40" s="45"/>
    </row>
    <row r="41" spans="1:6">
      <c r="A41" s="48" t="s">
        <v>219</v>
      </c>
      <c r="B41" s="48" t="s">
        <v>244</v>
      </c>
      <c r="C41" s="48" t="s">
        <v>159</v>
      </c>
      <c r="D41" s="53" t="s">
        <v>245</v>
      </c>
      <c r="E41" s="54">
        <v>0.18</v>
      </c>
      <c r="F41" s="48" t="s">
        <v>246</v>
      </c>
    </row>
    <row r="42" spans="1:6" ht="13.8" thickBot="1">
      <c r="A42" s="45"/>
      <c r="B42" s="45"/>
      <c r="C42" s="45"/>
      <c r="D42" s="56" t="s">
        <v>247</v>
      </c>
      <c r="E42" s="47"/>
      <c r="F42" s="45"/>
    </row>
    <row r="43" spans="1:6">
      <c r="A43" s="48" t="s">
        <v>219</v>
      </c>
      <c r="B43" s="48" t="s">
        <v>248</v>
      </c>
      <c r="C43" s="48" t="s">
        <v>159</v>
      </c>
      <c r="D43" s="53" t="s">
        <v>245</v>
      </c>
      <c r="E43" s="54">
        <v>0.15</v>
      </c>
      <c r="F43" s="48" t="s">
        <v>249</v>
      </c>
    </row>
    <row r="44" spans="1:6" ht="13.8" thickBot="1">
      <c r="A44" s="45"/>
      <c r="B44" s="45"/>
      <c r="C44" s="45"/>
      <c r="D44" s="56" t="s">
        <v>247</v>
      </c>
      <c r="E44" s="47"/>
      <c r="F44" s="45"/>
    </row>
    <row r="45" spans="1:6">
      <c r="A45" s="48" t="s">
        <v>250</v>
      </c>
      <c r="B45" s="48" t="s">
        <v>251</v>
      </c>
      <c r="C45" s="48" t="s">
        <v>156</v>
      </c>
      <c r="D45" s="53" t="s">
        <v>252</v>
      </c>
      <c r="E45" s="54">
        <v>0.16</v>
      </c>
      <c r="F45" s="48" t="s">
        <v>253</v>
      </c>
    </row>
    <row r="46" spans="1:6" ht="13.8" thickBot="1">
      <c r="A46" s="45"/>
      <c r="B46" s="45"/>
      <c r="C46" s="45"/>
      <c r="D46" s="56" t="s">
        <v>254</v>
      </c>
      <c r="E46" s="47"/>
      <c r="F46" s="45"/>
    </row>
    <row r="47" spans="1:6">
      <c r="A47" s="48" t="s">
        <v>250</v>
      </c>
      <c r="B47" s="48" t="s">
        <v>255</v>
      </c>
      <c r="C47" s="48" t="s">
        <v>156</v>
      </c>
      <c r="D47" s="53" t="s">
        <v>256</v>
      </c>
      <c r="E47" s="54">
        <v>0.16</v>
      </c>
      <c r="F47" s="48" t="s">
        <v>257</v>
      </c>
    </row>
    <row r="48" spans="1:6" ht="13.8" thickBot="1">
      <c r="A48" s="45"/>
      <c r="B48" s="45"/>
      <c r="C48" s="45"/>
      <c r="D48" s="56" t="s">
        <v>254</v>
      </c>
      <c r="E48" s="47"/>
      <c r="F48" s="45"/>
    </row>
    <row r="49" spans="1:8">
      <c r="A49" s="48" t="s">
        <v>250</v>
      </c>
      <c r="B49" s="48" t="s">
        <v>258</v>
      </c>
      <c r="C49" s="48" t="s">
        <v>156</v>
      </c>
      <c r="D49" s="53" t="s">
        <v>252</v>
      </c>
      <c r="E49" s="54">
        <v>0.16</v>
      </c>
      <c r="F49" s="48" t="s">
        <v>259</v>
      </c>
    </row>
    <row r="50" spans="1:8" ht="13.8" thickBot="1">
      <c r="A50" s="45"/>
      <c r="B50" s="45"/>
      <c r="C50" s="45"/>
      <c r="D50" s="56" t="s">
        <v>254</v>
      </c>
      <c r="E50" s="47"/>
      <c r="F50" s="45"/>
    </row>
    <row r="51" spans="1:8">
      <c r="A51" s="48" t="s">
        <v>250</v>
      </c>
      <c r="B51" s="48" t="s">
        <v>260</v>
      </c>
      <c r="C51" s="48" t="s">
        <v>156</v>
      </c>
      <c r="D51" s="53" t="s">
        <v>261</v>
      </c>
      <c r="E51" s="48" t="s">
        <v>262</v>
      </c>
      <c r="F51" s="48" t="s">
        <v>263</v>
      </c>
    </row>
    <row r="52" spans="1:8" ht="13.8" thickBot="1">
      <c r="A52" s="45"/>
      <c r="B52" s="45"/>
      <c r="C52" s="45"/>
      <c r="D52" s="56" t="s">
        <v>264</v>
      </c>
      <c r="E52" s="45"/>
      <c r="F52" s="45"/>
    </row>
    <row r="53" spans="1:8">
      <c r="A53" s="48" t="s">
        <v>250</v>
      </c>
      <c r="B53" s="48" t="s">
        <v>265</v>
      </c>
      <c r="C53" s="48" t="s">
        <v>156</v>
      </c>
      <c r="D53" s="53" t="s">
        <v>266</v>
      </c>
      <c r="E53" s="54">
        <v>0.17</v>
      </c>
      <c r="F53" s="48" t="s">
        <v>267</v>
      </c>
    </row>
    <row r="54" spans="1:8" ht="13.8" thickBot="1">
      <c r="A54" s="45"/>
      <c r="B54" s="45"/>
      <c r="C54" s="45"/>
      <c r="D54" s="56" t="s">
        <v>268</v>
      </c>
      <c r="E54" s="47"/>
      <c r="F54" s="45"/>
    </row>
    <row r="55" spans="1:8">
      <c r="A55" s="48" t="s">
        <v>250</v>
      </c>
      <c r="B55" s="48" t="s">
        <v>269</v>
      </c>
      <c r="C55" s="48" t="s">
        <v>156</v>
      </c>
      <c r="D55" s="53" t="s">
        <v>270</v>
      </c>
      <c r="E55" s="48" t="s">
        <v>236</v>
      </c>
      <c r="F55" s="48" t="s">
        <v>271</v>
      </c>
    </row>
    <row r="56" spans="1:8" ht="13.8" thickBot="1">
      <c r="A56" s="45"/>
      <c r="B56" s="45"/>
      <c r="C56" s="45"/>
      <c r="D56" s="56" t="s">
        <v>272</v>
      </c>
      <c r="E56" s="45"/>
      <c r="F56" s="45"/>
    </row>
    <row r="57" spans="1:8">
      <c r="A57" s="48" t="s">
        <v>250</v>
      </c>
      <c r="B57" s="48" t="s">
        <v>273</v>
      </c>
      <c r="C57" s="48" t="s">
        <v>156</v>
      </c>
      <c r="D57" s="53" t="s">
        <v>266</v>
      </c>
      <c r="E57" s="48" t="s">
        <v>236</v>
      </c>
      <c r="F57" s="48" t="s">
        <v>274</v>
      </c>
    </row>
    <row r="58" spans="1:8" ht="14.4" thickBot="1">
      <c r="A58" s="45"/>
      <c r="B58" s="45"/>
      <c r="C58" s="45"/>
      <c r="D58" s="56" t="s">
        <v>268</v>
      </c>
      <c r="E58" s="45"/>
      <c r="F58" s="45"/>
      <c r="H58" s="71" t="s">
        <v>275</v>
      </c>
    </row>
    <row r="59" spans="1:8">
      <c r="A59" s="48" t="s">
        <v>250</v>
      </c>
      <c r="B59" s="48" t="s">
        <v>276</v>
      </c>
      <c r="C59" s="48" t="s">
        <v>156</v>
      </c>
      <c r="D59" s="53" t="s">
        <v>277</v>
      </c>
      <c r="E59" s="48" t="s">
        <v>278</v>
      </c>
      <c r="F59" s="48" t="s">
        <v>279</v>
      </c>
    </row>
    <row r="60" spans="1:8" ht="13.8" thickBot="1">
      <c r="A60" s="45"/>
      <c r="B60" s="45"/>
      <c r="C60" s="45"/>
      <c r="D60" s="56" t="s">
        <v>280</v>
      </c>
      <c r="E60" s="45"/>
      <c r="F60" s="45"/>
    </row>
    <row r="61" spans="1:8">
      <c r="A61" s="48" t="s">
        <v>250</v>
      </c>
      <c r="B61" s="48" t="s">
        <v>281</v>
      </c>
      <c r="C61" s="48" t="s">
        <v>156</v>
      </c>
      <c r="D61" s="53" t="s">
        <v>277</v>
      </c>
      <c r="E61" s="48" t="s">
        <v>278</v>
      </c>
      <c r="F61" s="48" t="s">
        <v>282</v>
      </c>
    </row>
    <row r="62" spans="1:8" ht="13.8" thickBot="1">
      <c r="A62" s="45"/>
      <c r="B62" s="45"/>
      <c r="C62" s="45"/>
      <c r="D62" s="56" t="s">
        <v>280</v>
      </c>
      <c r="E62" s="45"/>
      <c r="F62" s="45"/>
    </row>
    <row r="63" spans="1:8">
      <c r="A63" s="48" t="s">
        <v>250</v>
      </c>
      <c r="B63" s="48" t="s">
        <v>283</v>
      </c>
      <c r="C63" s="48" t="s">
        <v>156</v>
      </c>
      <c r="D63" s="53" t="s">
        <v>270</v>
      </c>
      <c r="E63" s="48" t="s">
        <v>284</v>
      </c>
      <c r="F63" s="48" t="s">
        <v>285</v>
      </c>
    </row>
    <row r="64" spans="1:8" ht="13.8" thickBot="1">
      <c r="A64" s="45"/>
      <c r="B64" s="45"/>
      <c r="C64" s="45"/>
      <c r="D64" s="56" t="s">
        <v>272</v>
      </c>
      <c r="E64" s="45"/>
      <c r="F64" s="45"/>
    </row>
    <row r="65" spans="1:8">
      <c r="A65" s="48" t="s">
        <v>250</v>
      </c>
      <c r="B65" s="48" t="s">
        <v>286</v>
      </c>
      <c r="C65" s="48" t="s">
        <v>156</v>
      </c>
      <c r="D65" s="53" t="s">
        <v>270</v>
      </c>
      <c r="E65" s="48" t="s">
        <v>287</v>
      </c>
      <c r="F65" s="48" t="s">
        <v>288</v>
      </c>
    </row>
    <row r="66" spans="1:8" ht="13.8" thickBot="1">
      <c r="A66" s="45"/>
      <c r="B66" s="45"/>
      <c r="C66" s="45"/>
      <c r="D66" s="56" t="s">
        <v>272</v>
      </c>
      <c r="E66" s="45"/>
      <c r="F66" s="45"/>
    </row>
    <row r="67" spans="1:8">
      <c r="A67" s="48" t="s">
        <v>250</v>
      </c>
      <c r="B67" s="48" t="s">
        <v>289</v>
      </c>
      <c r="C67" s="48" t="s">
        <v>156</v>
      </c>
      <c r="D67" s="53" t="s">
        <v>277</v>
      </c>
      <c r="E67" s="48" t="s">
        <v>284</v>
      </c>
      <c r="F67" s="48" t="s">
        <v>290</v>
      </c>
    </row>
    <row r="68" spans="1:8" ht="13.8" thickBot="1">
      <c r="A68" s="45"/>
      <c r="B68" s="45"/>
      <c r="C68" s="45"/>
      <c r="D68" s="56" t="s">
        <v>280</v>
      </c>
      <c r="E68" s="45"/>
      <c r="F68" s="45"/>
    </row>
    <row r="69" spans="1:8">
      <c r="A69" s="48" t="s">
        <v>250</v>
      </c>
      <c r="B69" s="48" t="s">
        <v>291</v>
      </c>
      <c r="C69" s="48" t="s">
        <v>156</v>
      </c>
      <c r="D69" s="53" t="s">
        <v>270</v>
      </c>
      <c r="E69" s="48" t="s">
        <v>292</v>
      </c>
      <c r="F69" s="48" t="s">
        <v>293</v>
      </c>
    </row>
    <row r="70" spans="1:8" ht="13.8" thickBot="1">
      <c r="A70" s="45"/>
      <c r="B70" s="45"/>
      <c r="C70" s="45"/>
      <c r="D70" s="56" t="s">
        <v>272</v>
      </c>
      <c r="E70" s="45"/>
      <c r="F70" s="45"/>
    </row>
    <row r="71" spans="1:8">
      <c r="A71" s="48" t="s">
        <v>250</v>
      </c>
      <c r="B71" s="48" t="s">
        <v>294</v>
      </c>
      <c r="C71" s="48" t="s">
        <v>156</v>
      </c>
      <c r="D71" s="53" t="s">
        <v>270</v>
      </c>
      <c r="E71" s="48" t="s">
        <v>284</v>
      </c>
      <c r="F71" s="48" t="s">
        <v>295</v>
      </c>
    </row>
    <row r="72" spans="1:8" ht="15" thickBot="1">
      <c r="A72" s="45"/>
      <c r="B72" s="45"/>
      <c r="C72" s="45"/>
      <c r="D72" s="56" t="s">
        <v>272</v>
      </c>
      <c r="E72" s="45"/>
      <c r="F72" s="45"/>
      <c r="H72" s="72"/>
    </row>
    <row r="73" spans="1:8">
      <c r="A73" s="48" t="s">
        <v>250</v>
      </c>
      <c r="B73" s="48" t="s">
        <v>296</v>
      </c>
      <c r="C73" s="48" t="s">
        <v>156</v>
      </c>
      <c r="D73" s="53" t="s">
        <v>270</v>
      </c>
      <c r="E73" s="48" t="s">
        <v>284</v>
      </c>
      <c r="F73" s="48" t="s">
        <v>297</v>
      </c>
    </row>
    <row r="74" spans="1:8" ht="13.8" thickBot="1">
      <c r="A74" s="45"/>
      <c r="B74" s="45"/>
      <c r="C74" s="45"/>
      <c r="D74" s="56" t="s">
        <v>272</v>
      </c>
      <c r="E74" s="45"/>
      <c r="F74" s="45"/>
    </row>
    <row r="75" spans="1:8">
      <c r="A75" s="48" t="s">
        <v>250</v>
      </c>
      <c r="B75" s="48" t="s">
        <v>298</v>
      </c>
      <c r="C75" s="48" t="s">
        <v>156</v>
      </c>
      <c r="D75" s="53" t="s">
        <v>245</v>
      </c>
      <c r="E75" s="48" t="s">
        <v>299</v>
      </c>
      <c r="F75" s="48" t="s">
        <v>300</v>
      </c>
    </row>
    <row r="76" spans="1:8" ht="13.8" thickBot="1">
      <c r="A76" s="45"/>
      <c r="B76" s="45"/>
      <c r="C76" s="45"/>
      <c r="D76" s="56" t="s">
        <v>301</v>
      </c>
      <c r="E76" s="45"/>
      <c r="F76" s="45"/>
    </row>
    <row r="77" spans="1:8" ht="14.25" customHeight="1">
      <c r="A77" s="48" t="s">
        <v>302</v>
      </c>
      <c r="B77" s="48" t="s">
        <v>303</v>
      </c>
      <c r="C77" s="48" t="s">
        <v>156</v>
      </c>
      <c r="D77" s="53" t="s">
        <v>304</v>
      </c>
      <c r="E77" s="48" t="s">
        <v>292</v>
      </c>
      <c r="F77" s="48" t="s">
        <v>305</v>
      </c>
      <c r="H77" s="55" t="s">
        <v>306</v>
      </c>
    </row>
    <row r="78" spans="1:8" ht="13.8" thickBot="1">
      <c r="A78" s="45"/>
      <c r="B78" s="45"/>
      <c r="C78" s="45"/>
      <c r="D78" s="56" t="s">
        <v>307</v>
      </c>
      <c r="E78" s="45"/>
      <c r="F78" s="45"/>
      <c r="H78" s="55"/>
    </row>
    <row r="79" spans="1:8">
      <c r="A79" s="48" t="s">
        <v>302</v>
      </c>
      <c r="B79" s="48" t="s">
        <v>308</v>
      </c>
      <c r="C79" s="48" t="s">
        <v>156</v>
      </c>
      <c r="D79" s="53" t="s">
        <v>309</v>
      </c>
      <c r="E79" s="48" t="s">
        <v>278</v>
      </c>
      <c r="F79" s="48" t="s">
        <v>310</v>
      </c>
      <c r="H79" s="55" t="s">
        <v>311</v>
      </c>
    </row>
    <row r="80" spans="1:8" ht="13.8" thickBot="1">
      <c r="A80" s="45"/>
      <c r="B80" s="45"/>
      <c r="C80" s="45"/>
      <c r="D80" s="56" t="s">
        <v>312</v>
      </c>
      <c r="E80" s="45"/>
      <c r="F80" s="45"/>
      <c r="H80" s="55"/>
    </row>
    <row r="81" spans="1:8">
      <c r="A81" s="48" t="s">
        <v>302</v>
      </c>
      <c r="B81" s="48" t="s">
        <v>313</v>
      </c>
      <c r="C81" s="48" t="s">
        <v>156</v>
      </c>
      <c r="D81" s="53" t="s">
        <v>314</v>
      </c>
      <c r="E81" s="48" t="s">
        <v>278</v>
      </c>
      <c r="F81" s="48" t="s">
        <v>315</v>
      </c>
      <c r="H81" s="55"/>
    </row>
    <row r="82" spans="1:8" ht="13.8" thickBot="1">
      <c r="A82" s="45"/>
      <c r="B82" s="45"/>
      <c r="C82" s="45"/>
      <c r="D82" s="56" t="s">
        <v>316</v>
      </c>
      <c r="E82" s="45"/>
      <c r="F82" s="45"/>
      <c r="H82" s="55"/>
    </row>
    <row r="83" spans="1:8">
      <c r="A83" s="48" t="s">
        <v>302</v>
      </c>
      <c r="B83" s="48" t="s">
        <v>317</v>
      </c>
      <c r="C83" s="48" t="s">
        <v>156</v>
      </c>
      <c r="D83" s="53" t="s">
        <v>318</v>
      </c>
      <c r="E83" s="48" t="s">
        <v>319</v>
      </c>
      <c r="F83" s="48" t="s">
        <v>320</v>
      </c>
      <c r="H83" s="55"/>
    </row>
    <row r="84" spans="1:8" ht="13.8" thickBot="1">
      <c r="A84" s="45"/>
      <c r="B84" s="45"/>
      <c r="C84" s="45"/>
      <c r="D84" s="56" t="s">
        <v>321</v>
      </c>
      <c r="E84" s="45"/>
      <c r="F84" s="45"/>
      <c r="H84" s="55"/>
    </row>
    <row r="85" spans="1:8">
      <c r="A85" s="48" t="s">
        <v>302</v>
      </c>
      <c r="B85" s="48" t="s">
        <v>322</v>
      </c>
      <c r="C85" s="48" t="s">
        <v>156</v>
      </c>
      <c r="D85" s="53" t="s">
        <v>304</v>
      </c>
      <c r="E85" s="48" t="s">
        <v>323</v>
      </c>
      <c r="F85" s="48" t="s">
        <v>324</v>
      </c>
      <c r="H85" s="55" t="s">
        <v>325</v>
      </c>
    </row>
    <row r="86" spans="1:8" ht="13.8" thickBot="1">
      <c r="A86" s="45"/>
      <c r="B86" s="45"/>
      <c r="C86" s="45"/>
      <c r="D86" s="56" t="s">
        <v>307</v>
      </c>
      <c r="E86" s="45"/>
      <c r="F86" s="45"/>
      <c r="H86" s="55"/>
    </row>
    <row r="87" spans="1:8">
      <c r="A87" s="48" t="s">
        <v>302</v>
      </c>
      <c r="B87" s="48" t="s">
        <v>326</v>
      </c>
      <c r="C87" s="48" t="s">
        <v>156</v>
      </c>
      <c r="D87" s="53" t="s">
        <v>304</v>
      </c>
      <c r="E87" s="48" t="s">
        <v>278</v>
      </c>
      <c r="F87" s="48" t="s">
        <v>327</v>
      </c>
      <c r="H87" s="55" t="s">
        <v>328</v>
      </c>
    </row>
    <row r="88" spans="1:8" ht="13.8" thickBot="1">
      <c r="A88" s="45"/>
      <c r="B88" s="45"/>
      <c r="C88" s="45"/>
      <c r="D88" s="56" t="s">
        <v>307</v>
      </c>
      <c r="E88" s="45"/>
      <c r="F88" s="45"/>
      <c r="H88" s="55"/>
    </row>
    <row r="89" spans="1:8">
      <c r="A89" s="48" t="s">
        <v>302</v>
      </c>
      <c r="B89" s="48" t="s">
        <v>329</v>
      </c>
      <c r="C89" s="48" t="s">
        <v>156</v>
      </c>
      <c r="D89" s="53" t="s">
        <v>330</v>
      </c>
      <c r="E89" s="48" t="s">
        <v>278</v>
      </c>
      <c r="F89" s="48" t="s">
        <v>331</v>
      </c>
      <c r="H89" s="55" t="s">
        <v>332</v>
      </c>
    </row>
    <row r="90" spans="1:8" ht="13.8" thickBot="1">
      <c r="A90" s="45"/>
      <c r="B90" s="45"/>
      <c r="C90" s="45"/>
      <c r="D90" s="56" t="s">
        <v>164</v>
      </c>
      <c r="E90" s="45"/>
      <c r="F90" s="45"/>
      <c r="H90" s="55"/>
    </row>
    <row r="91" spans="1:8">
      <c r="A91" s="48" t="s">
        <v>302</v>
      </c>
      <c r="B91" s="48" t="s">
        <v>333</v>
      </c>
      <c r="C91" s="48" t="s">
        <v>156</v>
      </c>
      <c r="D91" s="53" t="s">
        <v>304</v>
      </c>
      <c r="E91" s="54">
        <v>0.18</v>
      </c>
      <c r="F91" s="48" t="s">
        <v>334</v>
      </c>
      <c r="H91" s="55"/>
    </row>
    <row r="92" spans="1:8" ht="13.8" thickBot="1">
      <c r="A92" s="45"/>
      <c r="B92" s="45"/>
      <c r="C92" s="45"/>
      <c r="D92" s="56" t="s">
        <v>307</v>
      </c>
      <c r="E92" s="47"/>
      <c r="F92" s="45"/>
      <c r="H92" s="55"/>
    </row>
    <row r="93" spans="1:8">
      <c r="A93" s="48" t="s">
        <v>302</v>
      </c>
      <c r="B93" s="48" t="s">
        <v>335</v>
      </c>
      <c r="C93" s="48" t="s">
        <v>156</v>
      </c>
      <c r="D93" s="53" t="s">
        <v>314</v>
      </c>
      <c r="E93" s="54">
        <v>0.12</v>
      </c>
      <c r="F93" s="48" t="s">
        <v>336</v>
      </c>
      <c r="H93" s="55"/>
    </row>
    <row r="94" spans="1:8" ht="13.8" thickBot="1">
      <c r="A94" s="45"/>
      <c r="B94" s="45"/>
      <c r="C94" s="45"/>
      <c r="D94" s="56" t="s">
        <v>316</v>
      </c>
      <c r="E94" s="47"/>
      <c r="F94" s="45"/>
      <c r="H94" s="55"/>
    </row>
    <row r="95" spans="1:8">
      <c r="A95" s="48" t="s">
        <v>302</v>
      </c>
      <c r="B95" s="48" t="s">
        <v>337</v>
      </c>
      <c r="C95" s="48" t="s">
        <v>156</v>
      </c>
      <c r="D95" s="53" t="s">
        <v>330</v>
      </c>
      <c r="E95" s="54">
        <v>0.14000000000000001</v>
      </c>
      <c r="F95" s="48" t="s">
        <v>338</v>
      </c>
      <c r="H95" s="55" t="s">
        <v>339</v>
      </c>
    </row>
    <row r="96" spans="1:8" ht="13.8" thickBot="1">
      <c r="A96" s="45"/>
      <c r="B96" s="45"/>
      <c r="C96" s="45"/>
      <c r="D96" s="56" t="s">
        <v>164</v>
      </c>
      <c r="E96" s="47"/>
      <c r="F96" s="45"/>
      <c r="H96" s="55"/>
    </row>
    <row r="97" spans="1:8">
      <c r="A97" s="48" t="s">
        <v>302</v>
      </c>
      <c r="B97" s="48" t="s">
        <v>340</v>
      </c>
      <c r="C97" s="48" t="s">
        <v>156</v>
      </c>
      <c r="D97" s="53" t="s">
        <v>304</v>
      </c>
      <c r="E97" s="48" t="s">
        <v>278</v>
      </c>
      <c r="F97" s="48" t="s">
        <v>341</v>
      </c>
      <c r="H97" s="55" t="s">
        <v>342</v>
      </c>
    </row>
    <row r="98" spans="1:8" ht="13.8" thickBot="1">
      <c r="A98" s="45"/>
      <c r="B98" s="45"/>
      <c r="C98" s="45"/>
      <c r="D98" s="56" t="s">
        <v>307</v>
      </c>
      <c r="E98" s="45"/>
      <c r="F98" s="45"/>
      <c r="H98" s="55"/>
    </row>
    <row r="99" spans="1:8">
      <c r="A99" s="48" t="s">
        <v>302</v>
      </c>
      <c r="B99" s="48" t="s">
        <v>343</v>
      </c>
      <c r="C99" s="48" t="s">
        <v>156</v>
      </c>
      <c r="D99" s="53" t="s">
        <v>344</v>
      </c>
      <c r="E99" s="54">
        <v>0.18</v>
      </c>
      <c r="F99" s="48" t="s">
        <v>345</v>
      </c>
      <c r="H99" s="55" t="s">
        <v>346</v>
      </c>
    </row>
    <row r="100" spans="1:8" ht="13.8" thickBot="1">
      <c r="A100" s="45"/>
      <c r="B100" s="45"/>
      <c r="C100" s="45"/>
      <c r="D100" s="56" t="s">
        <v>347</v>
      </c>
      <c r="E100" s="47"/>
      <c r="F100" s="45"/>
      <c r="H100" s="55"/>
    </row>
    <row r="101" spans="1:8" ht="13.8">
      <c r="A101" s="73" t="s">
        <v>348</v>
      </c>
      <c r="H101" s="55"/>
    </row>
    <row r="102" spans="1:8" ht="14.4">
      <c r="A102" s="72" t="s">
        <v>349</v>
      </c>
      <c r="H102" s="55"/>
    </row>
    <row r="104" spans="1:8" ht="14.4">
      <c r="A104" s="72" t="s">
        <v>350</v>
      </c>
    </row>
    <row r="106" spans="1:8" ht="14.4">
      <c r="A106" s="72" t="s">
        <v>351</v>
      </c>
    </row>
    <row r="108" spans="1:8" ht="14.4">
      <c r="A108" s="72" t="s">
        <v>352</v>
      </c>
    </row>
    <row r="109" spans="1:8">
      <c r="G109" s="1" t="s">
        <v>353</v>
      </c>
    </row>
    <row r="110" spans="1:8" ht="14.4">
      <c r="A110" s="72" t="s">
        <v>354</v>
      </c>
    </row>
    <row r="112" spans="1:8" ht="14.4">
      <c r="A112" s="72" t="s">
        <v>355</v>
      </c>
    </row>
    <row r="113" spans="1:6">
      <c r="F113" s="1" t="s">
        <v>356</v>
      </c>
    </row>
    <row r="114" spans="1:6" ht="14.4">
      <c r="A114" s="72" t="s">
        <v>357</v>
      </c>
      <c r="F114" s="1" t="s">
        <v>358</v>
      </c>
    </row>
    <row r="116" spans="1:6" ht="14.4">
      <c r="A116" s="72" t="s">
        <v>359</v>
      </c>
    </row>
    <row r="118" spans="1:6" ht="14.4">
      <c r="A118" s="72" t="s">
        <v>360</v>
      </c>
    </row>
  </sheetData>
  <autoFilter ref="A1:H100" xr:uid="{CA251CEB-37DC-443D-9B6C-C29054B20303}"/>
  <mergeCells count="276">
    <mergeCell ref="H101:H102"/>
    <mergeCell ref="A99:A100"/>
    <mergeCell ref="B99:B100"/>
    <mergeCell ref="C99:C100"/>
    <mergeCell ref="E99:E100"/>
    <mergeCell ref="F99:F100"/>
    <mergeCell ref="H99:H100"/>
    <mergeCell ref="A97:A98"/>
    <mergeCell ref="B97:B98"/>
    <mergeCell ref="C97:C98"/>
    <mergeCell ref="E97:E98"/>
    <mergeCell ref="F97:F98"/>
    <mergeCell ref="H97:H98"/>
    <mergeCell ref="A95:A96"/>
    <mergeCell ref="B95:B96"/>
    <mergeCell ref="C95:C96"/>
    <mergeCell ref="E95:E96"/>
    <mergeCell ref="F95:F96"/>
    <mergeCell ref="H95:H96"/>
    <mergeCell ref="A93:A94"/>
    <mergeCell ref="B93:B94"/>
    <mergeCell ref="C93:C94"/>
    <mergeCell ref="E93:E94"/>
    <mergeCell ref="F93:F94"/>
    <mergeCell ref="H93:H94"/>
    <mergeCell ref="A91:A92"/>
    <mergeCell ref="B91:B92"/>
    <mergeCell ref="C91:C92"/>
    <mergeCell ref="E91:E92"/>
    <mergeCell ref="F91:F92"/>
    <mergeCell ref="H91:H92"/>
    <mergeCell ref="A89:A90"/>
    <mergeCell ref="B89:B90"/>
    <mergeCell ref="C89:C90"/>
    <mergeCell ref="E89:E90"/>
    <mergeCell ref="F89:F90"/>
    <mergeCell ref="H89:H90"/>
    <mergeCell ref="A87:A88"/>
    <mergeCell ref="B87:B88"/>
    <mergeCell ref="C87:C88"/>
    <mergeCell ref="E87:E88"/>
    <mergeCell ref="F87:F88"/>
    <mergeCell ref="H87:H88"/>
    <mergeCell ref="A85:A86"/>
    <mergeCell ref="B85:B86"/>
    <mergeCell ref="C85:C86"/>
    <mergeCell ref="E85:E86"/>
    <mergeCell ref="F85:F86"/>
    <mergeCell ref="H85:H86"/>
    <mergeCell ref="A83:A84"/>
    <mergeCell ref="B83:B84"/>
    <mergeCell ref="C83:C84"/>
    <mergeCell ref="E83:E84"/>
    <mergeCell ref="F83:F84"/>
    <mergeCell ref="H83:H84"/>
    <mergeCell ref="A81:A82"/>
    <mergeCell ref="B81:B82"/>
    <mergeCell ref="C81:C82"/>
    <mergeCell ref="E81:E82"/>
    <mergeCell ref="F81:F82"/>
    <mergeCell ref="H81:H82"/>
    <mergeCell ref="H77:H78"/>
    <mergeCell ref="A79:A80"/>
    <mergeCell ref="B79:B80"/>
    <mergeCell ref="C79:C80"/>
    <mergeCell ref="E79:E80"/>
    <mergeCell ref="F79:F80"/>
    <mergeCell ref="H79:H80"/>
    <mergeCell ref="A75:A76"/>
    <mergeCell ref="B75:B76"/>
    <mergeCell ref="C75:C76"/>
    <mergeCell ref="E75:E76"/>
    <mergeCell ref="F75:F76"/>
    <mergeCell ref="A77:A78"/>
    <mergeCell ref="B77:B78"/>
    <mergeCell ref="C77:C78"/>
    <mergeCell ref="E77:E78"/>
    <mergeCell ref="F77:F78"/>
    <mergeCell ref="A71:A72"/>
    <mergeCell ref="B71:B72"/>
    <mergeCell ref="C71:C72"/>
    <mergeCell ref="E71:E72"/>
    <mergeCell ref="F71:F72"/>
    <mergeCell ref="A73:A74"/>
    <mergeCell ref="B73:B74"/>
    <mergeCell ref="C73:C74"/>
    <mergeCell ref="E73:E74"/>
    <mergeCell ref="F73:F74"/>
    <mergeCell ref="A67:A68"/>
    <mergeCell ref="B67:B68"/>
    <mergeCell ref="C67:C68"/>
    <mergeCell ref="E67:E68"/>
    <mergeCell ref="F67:F68"/>
    <mergeCell ref="A69:A70"/>
    <mergeCell ref="B69:B70"/>
    <mergeCell ref="C69:C70"/>
    <mergeCell ref="E69:E70"/>
    <mergeCell ref="F69:F70"/>
    <mergeCell ref="A63:A64"/>
    <mergeCell ref="B63:B64"/>
    <mergeCell ref="C63:C64"/>
    <mergeCell ref="E63:E64"/>
    <mergeCell ref="F63:F64"/>
    <mergeCell ref="A65:A66"/>
    <mergeCell ref="B65:B66"/>
    <mergeCell ref="C65:C66"/>
    <mergeCell ref="E65:E66"/>
    <mergeCell ref="F65:F66"/>
    <mergeCell ref="A59:A60"/>
    <mergeCell ref="B59:B60"/>
    <mergeCell ref="C59:C60"/>
    <mergeCell ref="E59:E60"/>
    <mergeCell ref="F59:F60"/>
    <mergeCell ref="A61:A62"/>
    <mergeCell ref="B61:B62"/>
    <mergeCell ref="C61:C62"/>
    <mergeCell ref="E61:E62"/>
    <mergeCell ref="F61:F62"/>
    <mergeCell ref="A55:A56"/>
    <mergeCell ref="B55:B56"/>
    <mergeCell ref="C55:C56"/>
    <mergeCell ref="E55:E56"/>
    <mergeCell ref="F55:F56"/>
    <mergeCell ref="A57:A58"/>
    <mergeCell ref="B57:B58"/>
    <mergeCell ref="C57:C58"/>
    <mergeCell ref="E57:E58"/>
    <mergeCell ref="F57:F58"/>
    <mergeCell ref="A51:A52"/>
    <mergeCell ref="B51:B52"/>
    <mergeCell ref="C51:C52"/>
    <mergeCell ref="E51:E52"/>
    <mergeCell ref="F51:F52"/>
    <mergeCell ref="A53:A54"/>
    <mergeCell ref="B53:B54"/>
    <mergeCell ref="C53:C54"/>
    <mergeCell ref="E53:E54"/>
    <mergeCell ref="F53:F54"/>
    <mergeCell ref="A47:A48"/>
    <mergeCell ref="B47:B48"/>
    <mergeCell ref="C47:C48"/>
    <mergeCell ref="E47:E48"/>
    <mergeCell ref="F47:F48"/>
    <mergeCell ref="A49:A50"/>
    <mergeCell ref="B49:B50"/>
    <mergeCell ref="C49:C50"/>
    <mergeCell ref="E49:E50"/>
    <mergeCell ref="F49:F50"/>
    <mergeCell ref="A43:A44"/>
    <mergeCell ref="B43:B44"/>
    <mergeCell ref="C43:C44"/>
    <mergeCell ref="E43:E44"/>
    <mergeCell ref="F43:F44"/>
    <mergeCell ref="A45:A46"/>
    <mergeCell ref="B45:B46"/>
    <mergeCell ref="C45:C46"/>
    <mergeCell ref="E45:E46"/>
    <mergeCell ref="F45:F46"/>
    <mergeCell ref="A39:A40"/>
    <mergeCell ref="B39:B40"/>
    <mergeCell ref="C39:C40"/>
    <mergeCell ref="E39:E40"/>
    <mergeCell ref="F39:F40"/>
    <mergeCell ref="A41:A42"/>
    <mergeCell ref="B41:B42"/>
    <mergeCell ref="C41:C42"/>
    <mergeCell ref="E41:E42"/>
    <mergeCell ref="F41:F42"/>
    <mergeCell ref="A35:A36"/>
    <mergeCell ref="B35:B36"/>
    <mergeCell ref="C35:C36"/>
    <mergeCell ref="E35:E36"/>
    <mergeCell ref="F35:F36"/>
    <mergeCell ref="A37:A38"/>
    <mergeCell ref="B37:B38"/>
    <mergeCell ref="C37:C38"/>
    <mergeCell ref="E37:E38"/>
    <mergeCell ref="F37:F38"/>
    <mergeCell ref="A31:A32"/>
    <mergeCell ref="B31:B32"/>
    <mergeCell ref="C31:C32"/>
    <mergeCell ref="E31:E32"/>
    <mergeCell ref="F31:F32"/>
    <mergeCell ref="A33:A34"/>
    <mergeCell ref="B33:B34"/>
    <mergeCell ref="C33:C34"/>
    <mergeCell ref="E33:E34"/>
    <mergeCell ref="F33:F34"/>
    <mergeCell ref="A27:A28"/>
    <mergeCell ref="B27:B28"/>
    <mergeCell ref="C27:C28"/>
    <mergeCell ref="E27:E28"/>
    <mergeCell ref="F27:F28"/>
    <mergeCell ref="A29:A30"/>
    <mergeCell ref="B29:B30"/>
    <mergeCell ref="C29:C30"/>
    <mergeCell ref="E29:E30"/>
    <mergeCell ref="F29:F30"/>
    <mergeCell ref="A25:A26"/>
    <mergeCell ref="B25:B26"/>
    <mergeCell ref="C25:C26"/>
    <mergeCell ref="E25:E26"/>
    <mergeCell ref="F25:F26"/>
    <mergeCell ref="H25:H26"/>
    <mergeCell ref="A23:A24"/>
    <mergeCell ref="B23:B24"/>
    <mergeCell ref="C23:C24"/>
    <mergeCell ref="E23:E24"/>
    <mergeCell ref="F23:F24"/>
    <mergeCell ref="H23:H24"/>
    <mergeCell ref="A21:A22"/>
    <mergeCell ref="B21:B22"/>
    <mergeCell ref="C21:C22"/>
    <mergeCell ref="E21:E22"/>
    <mergeCell ref="F21:F22"/>
    <mergeCell ref="H21:H22"/>
    <mergeCell ref="A19:A20"/>
    <mergeCell ref="B19:B20"/>
    <mergeCell ref="C19:C20"/>
    <mergeCell ref="E19:E20"/>
    <mergeCell ref="F19:F20"/>
    <mergeCell ref="H19:H20"/>
    <mergeCell ref="H15:H16"/>
    <mergeCell ref="A17:A18"/>
    <mergeCell ref="B17:B18"/>
    <mergeCell ref="C17:C18"/>
    <mergeCell ref="E17:E18"/>
    <mergeCell ref="F17:F18"/>
    <mergeCell ref="H17:H18"/>
    <mergeCell ref="A15:A16"/>
    <mergeCell ref="B15:B16"/>
    <mergeCell ref="C15:C16"/>
    <mergeCell ref="E15:E16"/>
    <mergeCell ref="F15:F16"/>
    <mergeCell ref="G15:G16"/>
    <mergeCell ref="H11:H12"/>
    <mergeCell ref="A13:A14"/>
    <mergeCell ref="B13:B14"/>
    <mergeCell ref="C13:C14"/>
    <mergeCell ref="E13:E14"/>
    <mergeCell ref="F13:F14"/>
    <mergeCell ref="A11:A12"/>
    <mergeCell ref="B11:B12"/>
    <mergeCell ref="C11:C12"/>
    <mergeCell ref="E11:E12"/>
    <mergeCell ref="F11:F12"/>
    <mergeCell ref="G11:G12"/>
    <mergeCell ref="H7:H8"/>
    <mergeCell ref="A9:A10"/>
    <mergeCell ref="B9:B10"/>
    <mergeCell ref="C9:C10"/>
    <mergeCell ref="E9:E10"/>
    <mergeCell ref="F9:F10"/>
    <mergeCell ref="H9:H10"/>
    <mergeCell ref="A7:A8"/>
    <mergeCell ref="B7:B8"/>
    <mergeCell ref="C7:C8"/>
    <mergeCell ref="E7:E8"/>
    <mergeCell ref="F7:F8"/>
    <mergeCell ref="G7:G8"/>
    <mergeCell ref="G3:G4"/>
    <mergeCell ref="A5:A6"/>
    <mergeCell ref="B5:B6"/>
    <mergeCell ref="C5:C6"/>
    <mergeCell ref="E5:E6"/>
    <mergeCell ref="F5:F6"/>
    <mergeCell ref="A1:A2"/>
    <mergeCell ref="B1:B2"/>
    <mergeCell ref="D1:D2"/>
    <mergeCell ref="E1:E2"/>
    <mergeCell ref="F1:F2"/>
    <mergeCell ref="A3:A4"/>
    <mergeCell ref="B3:B4"/>
    <mergeCell ref="C3:C4"/>
    <mergeCell ref="E3:E4"/>
    <mergeCell ref="F3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B6182-234B-4108-BDB5-E2C7AAAE4094}">
  <sheetPr>
    <tabColor rgb="FF002060"/>
  </sheetPr>
  <dimension ref="A1:G34"/>
  <sheetViews>
    <sheetView topLeftCell="D1" zoomScaleNormal="100" workbookViewId="0">
      <selection activeCell="B1" sqref="B1"/>
    </sheetView>
  </sheetViews>
  <sheetFormatPr defaultColWidth="8.88671875" defaultRowHeight="13.2"/>
  <cols>
    <col min="1" max="2" width="8.88671875" style="1"/>
    <col min="3" max="3" width="35" style="1" customWidth="1"/>
    <col min="4" max="6" width="49.88671875" style="1" customWidth="1"/>
    <col min="7" max="7" width="63" style="1" customWidth="1"/>
    <col min="8" max="258" width="8.88671875" style="1"/>
    <col min="259" max="259" width="35" style="1" customWidth="1"/>
    <col min="260" max="262" width="49.88671875" style="1" customWidth="1"/>
    <col min="263" max="263" width="63" style="1" customWidth="1"/>
    <col min="264" max="514" width="8.88671875" style="1"/>
    <col min="515" max="515" width="35" style="1" customWidth="1"/>
    <col min="516" max="518" width="49.88671875" style="1" customWidth="1"/>
    <col min="519" max="519" width="63" style="1" customWidth="1"/>
    <col min="520" max="770" width="8.88671875" style="1"/>
    <col min="771" max="771" width="35" style="1" customWidth="1"/>
    <col min="772" max="774" width="49.88671875" style="1" customWidth="1"/>
    <col min="775" max="775" width="63" style="1" customWidth="1"/>
    <col min="776" max="1026" width="8.88671875" style="1"/>
    <col min="1027" max="1027" width="35" style="1" customWidth="1"/>
    <col min="1028" max="1030" width="49.88671875" style="1" customWidth="1"/>
    <col min="1031" max="1031" width="63" style="1" customWidth="1"/>
    <col min="1032" max="1282" width="8.88671875" style="1"/>
    <col min="1283" max="1283" width="35" style="1" customWidth="1"/>
    <col min="1284" max="1286" width="49.88671875" style="1" customWidth="1"/>
    <col min="1287" max="1287" width="63" style="1" customWidth="1"/>
    <col min="1288" max="1538" width="8.88671875" style="1"/>
    <col min="1539" max="1539" width="35" style="1" customWidth="1"/>
    <col min="1540" max="1542" width="49.88671875" style="1" customWidth="1"/>
    <col min="1543" max="1543" width="63" style="1" customWidth="1"/>
    <col min="1544" max="1794" width="8.88671875" style="1"/>
    <col min="1795" max="1795" width="35" style="1" customWidth="1"/>
    <col min="1796" max="1798" width="49.88671875" style="1" customWidth="1"/>
    <col min="1799" max="1799" width="63" style="1" customWidth="1"/>
    <col min="1800" max="2050" width="8.88671875" style="1"/>
    <col min="2051" max="2051" width="35" style="1" customWidth="1"/>
    <col min="2052" max="2054" width="49.88671875" style="1" customWidth="1"/>
    <col min="2055" max="2055" width="63" style="1" customWidth="1"/>
    <col min="2056" max="2306" width="8.88671875" style="1"/>
    <col min="2307" max="2307" width="35" style="1" customWidth="1"/>
    <col min="2308" max="2310" width="49.88671875" style="1" customWidth="1"/>
    <col min="2311" max="2311" width="63" style="1" customWidth="1"/>
    <col min="2312" max="2562" width="8.88671875" style="1"/>
    <col min="2563" max="2563" width="35" style="1" customWidth="1"/>
    <col min="2564" max="2566" width="49.88671875" style="1" customWidth="1"/>
    <col min="2567" max="2567" width="63" style="1" customWidth="1"/>
    <col min="2568" max="2818" width="8.88671875" style="1"/>
    <col min="2819" max="2819" width="35" style="1" customWidth="1"/>
    <col min="2820" max="2822" width="49.88671875" style="1" customWidth="1"/>
    <col min="2823" max="2823" width="63" style="1" customWidth="1"/>
    <col min="2824" max="3074" width="8.88671875" style="1"/>
    <col min="3075" max="3075" width="35" style="1" customWidth="1"/>
    <col min="3076" max="3078" width="49.88671875" style="1" customWidth="1"/>
    <col min="3079" max="3079" width="63" style="1" customWidth="1"/>
    <col min="3080" max="3330" width="8.88671875" style="1"/>
    <col min="3331" max="3331" width="35" style="1" customWidth="1"/>
    <col min="3332" max="3334" width="49.88671875" style="1" customWidth="1"/>
    <col min="3335" max="3335" width="63" style="1" customWidth="1"/>
    <col min="3336" max="3586" width="8.88671875" style="1"/>
    <col min="3587" max="3587" width="35" style="1" customWidth="1"/>
    <col min="3588" max="3590" width="49.88671875" style="1" customWidth="1"/>
    <col min="3591" max="3591" width="63" style="1" customWidth="1"/>
    <col min="3592" max="3842" width="8.88671875" style="1"/>
    <col min="3843" max="3843" width="35" style="1" customWidth="1"/>
    <col min="3844" max="3846" width="49.88671875" style="1" customWidth="1"/>
    <col min="3847" max="3847" width="63" style="1" customWidth="1"/>
    <col min="3848" max="4098" width="8.88671875" style="1"/>
    <col min="4099" max="4099" width="35" style="1" customWidth="1"/>
    <col min="4100" max="4102" width="49.88671875" style="1" customWidth="1"/>
    <col min="4103" max="4103" width="63" style="1" customWidth="1"/>
    <col min="4104" max="4354" width="8.88671875" style="1"/>
    <col min="4355" max="4355" width="35" style="1" customWidth="1"/>
    <col min="4356" max="4358" width="49.88671875" style="1" customWidth="1"/>
    <col min="4359" max="4359" width="63" style="1" customWidth="1"/>
    <col min="4360" max="4610" width="8.88671875" style="1"/>
    <col min="4611" max="4611" width="35" style="1" customWidth="1"/>
    <col min="4612" max="4614" width="49.88671875" style="1" customWidth="1"/>
    <col min="4615" max="4615" width="63" style="1" customWidth="1"/>
    <col min="4616" max="4866" width="8.88671875" style="1"/>
    <col min="4867" max="4867" width="35" style="1" customWidth="1"/>
    <col min="4868" max="4870" width="49.88671875" style="1" customWidth="1"/>
    <col min="4871" max="4871" width="63" style="1" customWidth="1"/>
    <col min="4872" max="5122" width="8.88671875" style="1"/>
    <col min="5123" max="5123" width="35" style="1" customWidth="1"/>
    <col min="5124" max="5126" width="49.88671875" style="1" customWidth="1"/>
    <col min="5127" max="5127" width="63" style="1" customWidth="1"/>
    <col min="5128" max="5378" width="8.88671875" style="1"/>
    <col min="5379" max="5379" width="35" style="1" customWidth="1"/>
    <col min="5380" max="5382" width="49.88671875" style="1" customWidth="1"/>
    <col min="5383" max="5383" width="63" style="1" customWidth="1"/>
    <col min="5384" max="5634" width="8.88671875" style="1"/>
    <col min="5635" max="5635" width="35" style="1" customWidth="1"/>
    <col min="5636" max="5638" width="49.88671875" style="1" customWidth="1"/>
    <col min="5639" max="5639" width="63" style="1" customWidth="1"/>
    <col min="5640" max="5890" width="8.88671875" style="1"/>
    <col min="5891" max="5891" width="35" style="1" customWidth="1"/>
    <col min="5892" max="5894" width="49.88671875" style="1" customWidth="1"/>
    <col min="5895" max="5895" width="63" style="1" customWidth="1"/>
    <col min="5896" max="6146" width="8.88671875" style="1"/>
    <col min="6147" max="6147" width="35" style="1" customWidth="1"/>
    <col min="6148" max="6150" width="49.88671875" style="1" customWidth="1"/>
    <col min="6151" max="6151" width="63" style="1" customWidth="1"/>
    <col min="6152" max="6402" width="8.88671875" style="1"/>
    <col min="6403" max="6403" width="35" style="1" customWidth="1"/>
    <col min="6404" max="6406" width="49.88671875" style="1" customWidth="1"/>
    <col min="6407" max="6407" width="63" style="1" customWidth="1"/>
    <col min="6408" max="6658" width="8.88671875" style="1"/>
    <col min="6659" max="6659" width="35" style="1" customWidth="1"/>
    <col min="6660" max="6662" width="49.88671875" style="1" customWidth="1"/>
    <col min="6663" max="6663" width="63" style="1" customWidth="1"/>
    <col min="6664" max="6914" width="8.88671875" style="1"/>
    <col min="6915" max="6915" width="35" style="1" customWidth="1"/>
    <col min="6916" max="6918" width="49.88671875" style="1" customWidth="1"/>
    <col min="6919" max="6919" width="63" style="1" customWidth="1"/>
    <col min="6920" max="7170" width="8.88671875" style="1"/>
    <col min="7171" max="7171" width="35" style="1" customWidth="1"/>
    <col min="7172" max="7174" width="49.88671875" style="1" customWidth="1"/>
    <col min="7175" max="7175" width="63" style="1" customWidth="1"/>
    <col min="7176" max="7426" width="8.88671875" style="1"/>
    <col min="7427" max="7427" width="35" style="1" customWidth="1"/>
    <col min="7428" max="7430" width="49.88671875" style="1" customWidth="1"/>
    <col min="7431" max="7431" width="63" style="1" customWidth="1"/>
    <col min="7432" max="7682" width="8.88671875" style="1"/>
    <col min="7683" max="7683" width="35" style="1" customWidth="1"/>
    <col min="7684" max="7686" width="49.88671875" style="1" customWidth="1"/>
    <col min="7687" max="7687" width="63" style="1" customWidth="1"/>
    <col min="7688" max="7938" width="8.88671875" style="1"/>
    <col min="7939" max="7939" width="35" style="1" customWidth="1"/>
    <col min="7940" max="7942" width="49.88671875" style="1" customWidth="1"/>
    <col min="7943" max="7943" width="63" style="1" customWidth="1"/>
    <col min="7944" max="8194" width="8.88671875" style="1"/>
    <col min="8195" max="8195" width="35" style="1" customWidth="1"/>
    <col min="8196" max="8198" width="49.88671875" style="1" customWidth="1"/>
    <col min="8199" max="8199" width="63" style="1" customWidth="1"/>
    <col min="8200" max="8450" width="8.88671875" style="1"/>
    <col min="8451" max="8451" width="35" style="1" customWidth="1"/>
    <col min="8452" max="8454" width="49.88671875" style="1" customWidth="1"/>
    <col min="8455" max="8455" width="63" style="1" customWidth="1"/>
    <col min="8456" max="8706" width="8.88671875" style="1"/>
    <col min="8707" max="8707" width="35" style="1" customWidth="1"/>
    <col min="8708" max="8710" width="49.88671875" style="1" customWidth="1"/>
    <col min="8711" max="8711" width="63" style="1" customWidth="1"/>
    <col min="8712" max="8962" width="8.88671875" style="1"/>
    <col min="8963" max="8963" width="35" style="1" customWidth="1"/>
    <col min="8964" max="8966" width="49.88671875" style="1" customWidth="1"/>
    <col min="8967" max="8967" width="63" style="1" customWidth="1"/>
    <col min="8968" max="9218" width="8.88671875" style="1"/>
    <col min="9219" max="9219" width="35" style="1" customWidth="1"/>
    <col min="9220" max="9222" width="49.88671875" style="1" customWidth="1"/>
    <col min="9223" max="9223" width="63" style="1" customWidth="1"/>
    <col min="9224" max="9474" width="8.88671875" style="1"/>
    <col min="9475" max="9475" width="35" style="1" customWidth="1"/>
    <col min="9476" max="9478" width="49.88671875" style="1" customWidth="1"/>
    <col min="9479" max="9479" width="63" style="1" customWidth="1"/>
    <col min="9480" max="9730" width="8.88671875" style="1"/>
    <col min="9731" max="9731" width="35" style="1" customWidth="1"/>
    <col min="9732" max="9734" width="49.88671875" style="1" customWidth="1"/>
    <col min="9735" max="9735" width="63" style="1" customWidth="1"/>
    <col min="9736" max="9986" width="8.88671875" style="1"/>
    <col min="9987" max="9987" width="35" style="1" customWidth="1"/>
    <col min="9988" max="9990" width="49.88671875" style="1" customWidth="1"/>
    <col min="9991" max="9991" width="63" style="1" customWidth="1"/>
    <col min="9992" max="10242" width="8.88671875" style="1"/>
    <col min="10243" max="10243" width="35" style="1" customWidth="1"/>
    <col min="10244" max="10246" width="49.88671875" style="1" customWidth="1"/>
    <col min="10247" max="10247" width="63" style="1" customWidth="1"/>
    <col min="10248" max="10498" width="8.88671875" style="1"/>
    <col min="10499" max="10499" width="35" style="1" customWidth="1"/>
    <col min="10500" max="10502" width="49.88671875" style="1" customWidth="1"/>
    <col min="10503" max="10503" width="63" style="1" customWidth="1"/>
    <col min="10504" max="10754" width="8.88671875" style="1"/>
    <col min="10755" max="10755" width="35" style="1" customWidth="1"/>
    <col min="10756" max="10758" width="49.88671875" style="1" customWidth="1"/>
    <col min="10759" max="10759" width="63" style="1" customWidth="1"/>
    <col min="10760" max="11010" width="8.88671875" style="1"/>
    <col min="11011" max="11011" width="35" style="1" customWidth="1"/>
    <col min="11012" max="11014" width="49.88671875" style="1" customWidth="1"/>
    <col min="11015" max="11015" width="63" style="1" customWidth="1"/>
    <col min="11016" max="11266" width="8.88671875" style="1"/>
    <col min="11267" max="11267" width="35" style="1" customWidth="1"/>
    <col min="11268" max="11270" width="49.88671875" style="1" customWidth="1"/>
    <col min="11271" max="11271" width="63" style="1" customWidth="1"/>
    <col min="11272" max="11522" width="8.88671875" style="1"/>
    <col min="11523" max="11523" width="35" style="1" customWidth="1"/>
    <col min="11524" max="11526" width="49.88671875" style="1" customWidth="1"/>
    <col min="11527" max="11527" width="63" style="1" customWidth="1"/>
    <col min="11528" max="11778" width="8.88671875" style="1"/>
    <col min="11779" max="11779" width="35" style="1" customWidth="1"/>
    <col min="11780" max="11782" width="49.88671875" style="1" customWidth="1"/>
    <col min="11783" max="11783" width="63" style="1" customWidth="1"/>
    <col min="11784" max="12034" width="8.88671875" style="1"/>
    <col min="12035" max="12035" width="35" style="1" customWidth="1"/>
    <col min="12036" max="12038" width="49.88671875" style="1" customWidth="1"/>
    <col min="12039" max="12039" width="63" style="1" customWidth="1"/>
    <col min="12040" max="12290" width="8.88671875" style="1"/>
    <col min="12291" max="12291" width="35" style="1" customWidth="1"/>
    <col min="12292" max="12294" width="49.88671875" style="1" customWidth="1"/>
    <col min="12295" max="12295" width="63" style="1" customWidth="1"/>
    <col min="12296" max="12546" width="8.88671875" style="1"/>
    <col min="12547" max="12547" width="35" style="1" customWidth="1"/>
    <col min="12548" max="12550" width="49.88671875" style="1" customWidth="1"/>
    <col min="12551" max="12551" width="63" style="1" customWidth="1"/>
    <col min="12552" max="12802" width="8.88671875" style="1"/>
    <col min="12803" max="12803" width="35" style="1" customWidth="1"/>
    <col min="12804" max="12806" width="49.88671875" style="1" customWidth="1"/>
    <col min="12807" max="12807" width="63" style="1" customWidth="1"/>
    <col min="12808" max="13058" width="8.88671875" style="1"/>
    <col min="13059" max="13059" width="35" style="1" customWidth="1"/>
    <col min="13060" max="13062" width="49.88671875" style="1" customWidth="1"/>
    <col min="13063" max="13063" width="63" style="1" customWidth="1"/>
    <col min="13064" max="13314" width="8.88671875" style="1"/>
    <col min="13315" max="13315" width="35" style="1" customWidth="1"/>
    <col min="13316" max="13318" width="49.88671875" style="1" customWidth="1"/>
    <col min="13319" max="13319" width="63" style="1" customWidth="1"/>
    <col min="13320" max="13570" width="8.88671875" style="1"/>
    <col min="13571" max="13571" width="35" style="1" customWidth="1"/>
    <col min="13572" max="13574" width="49.88671875" style="1" customWidth="1"/>
    <col min="13575" max="13575" width="63" style="1" customWidth="1"/>
    <col min="13576" max="13826" width="8.88671875" style="1"/>
    <col min="13827" max="13827" width="35" style="1" customWidth="1"/>
    <col min="13828" max="13830" width="49.88671875" style="1" customWidth="1"/>
    <col min="13831" max="13831" width="63" style="1" customWidth="1"/>
    <col min="13832" max="14082" width="8.88671875" style="1"/>
    <col min="14083" max="14083" width="35" style="1" customWidth="1"/>
    <col min="14084" max="14086" width="49.88671875" style="1" customWidth="1"/>
    <col min="14087" max="14087" width="63" style="1" customWidth="1"/>
    <col min="14088" max="14338" width="8.88671875" style="1"/>
    <col min="14339" max="14339" width="35" style="1" customWidth="1"/>
    <col min="14340" max="14342" width="49.88671875" style="1" customWidth="1"/>
    <col min="14343" max="14343" width="63" style="1" customWidth="1"/>
    <col min="14344" max="14594" width="8.88671875" style="1"/>
    <col min="14595" max="14595" width="35" style="1" customWidth="1"/>
    <col min="14596" max="14598" width="49.88671875" style="1" customWidth="1"/>
    <col min="14599" max="14599" width="63" style="1" customWidth="1"/>
    <col min="14600" max="14850" width="8.88671875" style="1"/>
    <col min="14851" max="14851" width="35" style="1" customWidth="1"/>
    <col min="14852" max="14854" width="49.88671875" style="1" customWidth="1"/>
    <col min="14855" max="14855" width="63" style="1" customWidth="1"/>
    <col min="14856" max="15106" width="8.88671875" style="1"/>
    <col min="15107" max="15107" width="35" style="1" customWidth="1"/>
    <col min="15108" max="15110" width="49.88671875" style="1" customWidth="1"/>
    <col min="15111" max="15111" width="63" style="1" customWidth="1"/>
    <col min="15112" max="15362" width="8.88671875" style="1"/>
    <col min="15363" max="15363" width="35" style="1" customWidth="1"/>
    <col min="15364" max="15366" width="49.88671875" style="1" customWidth="1"/>
    <col min="15367" max="15367" width="63" style="1" customWidth="1"/>
    <col min="15368" max="15618" width="8.88671875" style="1"/>
    <col min="15619" max="15619" width="35" style="1" customWidth="1"/>
    <col min="15620" max="15622" width="49.88671875" style="1" customWidth="1"/>
    <col min="15623" max="15623" width="63" style="1" customWidth="1"/>
    <col min="15624" max="15874" width="8.88671875" style="1"/>
    <col min="15875" max="15875" width="35" style="1" customWidth="1"/>
    <col min="15876" max="15878" width="49.88671875" style="1" customWidth="1"/>
    <col min="15879" max="15879" width="63" style="1" customWidth="1"/>
    <col min="15880" max="16130" width="8.88671875" style="1"/>
    <col min="16131" max="16131" width="35" style="1" customWidth="1"/>
    <col min="16132" max="16134" width="49.88671875" style="1" customWidth="1"/>
    <col min="16135" max="16135" width="63" style="1" customWidth="1"/>
    <col min="16136" max="16384" width="8.88671875" style="1"/>
  </cols>
  <sheetData>
    <row r="1" spans="1:7" ht="13.8" thickBot="1">
      <c r="A1" s="24" t="s">
        <v>26</v>
      </c>
      <c r="B1" s="24" t="s">
        <v>27</v>
      </c>
      <c r="C1" s="25" t="s">
        <v>28</v>
      </c>
      <c r="D1" s="24" t="s">
        <v>29</v>
      </c>
      <c r="E1" s="24" t="s">
        <v>30</v>
      </c>
      <c r="F1" s="26" t="s">
        <v>31</v>
      </c>
      <c r="G1" s="27" t="s">
        <v>32</v>
      </c>
    </row>
    <row r="2" spans="1:7" ht="13.8" thickBot="1">
      <c r="A2" s="1">
        <v>1</v>
      </c>
      <c r="B2" s="1" t="s">
        <v>33</v>
      </c>
      <c r="C2" s="28" t="s">
        <v>34</v>
      </c>
      <c r="D2" s="28" t="s">
        <v>35</v>
      </c>
      <c r="E2" s="28" t="s">
        <v>36</v>
      </c>
      <c r="F2" s="28" t="s">
        <v>37</v>
      </c>
    </row>
    <row r="3" spans="1:7" ht="13.8" thickBot="1">
      <c r="A3" s="1">
        <v>1</v>
      </c>
      <c r="B3" s="1" t="s">
        <v>33</v>
      </c>
      <c r="C3" s="28" t="s">
        <v>38</v>
      </c>
      <c r="D3" s="28" t="s">
        <v>39</v>
      </c>
      <c r="E3" s="28" t="s">
        <v>40</v>
      </c>
      <c r="F3" s="28" t="s">
        <v>41</v>
      </c>
    </row>
    <row r="4" spans="1:7" ht="13.8" thickBot="1">
      <c r="A4" s="1">
        <v>1</v>
      </c>
      <c r="B4" s="1" t="s">
        <v>33</v>
      </c>
      <c r="C4" s="28" t="s">
        <v>42</v>
      </c>
      <c r="D4" s="28" t="s">
        <v>43</v>
      </c>
      <c r="E4" s="28" t="s">
        <v>44</v>
      </c>
      <c r="F4" s="28" t="s">
        <v>45</v>
      </c>
    </row>
    <row r="5" spans="1:7" ht="13.8" thickBot="1">
      <c r="A5" s="1">
        <v>1</v>
      </c>
      <c r="B5" s="1" t="s">
        <v>33</v>
      </c>
      <c r="C5" s="28" t="s">
        <v>46</v>
      </c>
      <c r="D5" s="28" t="s">
        <v>35</v>
      </c>
      <c r="E5" s="28" t="s">
        <v>47</v>
      </c>
      <c r="F5" s="28" t="s">
        <v>48</v>
      </c>
    </row>
    <row r="6" spans="1:7" ht="13.8" thickBot="1">
      <c r="A6" s="1">
        <v>1</v>
      </c>
      <c r="B6" s="1" t="s">
        <v>33</v>
      </c>
      <c r="C6" s="28" t="s">
        <v>49</v>
      </c>
      <c r="D6" s="28" t="s">
        <v>50</v>
      </c>
      <c r="E6" s="28" t="s">
        <v>51</v>
      </c>
      <c r="F6" s="28" t="s">
        <v>48</v>
      </c>
    </row>
    <row r="7" spans="1:7" ht="13.8" thickBot="1">
      <c r="A7" s="1">
        <v>2</v>
      </c>
      <c r="B7" s="1" t="s">
        <v>52</v>
      </c>
      <c r="C7" s="28" t="s">
        <v>53</v>
      </c>
      <c r="D7" s="28" t="s">
        <v>54</v>
      </c>
      <c r="E7" s="28" t="s">
        <v>55</v>
      </c>
      <c r="F7" s="28" t="s">
        <v>56</v>
      </c>
    </row>
    <row r="8" spans="1:7" ht="13.8" thickBot="1">
      <c r="A8" s="1">
        <v>2</v>
      </c>
      <c r="B8" s="1" t="s">
        <v>52</v>
      </c>
      <c r="C8" s="28" t="s">
        <v>57</v>
      </c>
      <c r="D8" s="28" t="s">
        <v>58</v>
      </c>
      <c r="E8" s="28" t="s">
        <v>55</v>
      </c>
      <c r="F8" s="28" t="s">
        <v>59</v>
      </c>
      <c r="G8" s="29" t="s">
        <v>60</v>
      </c>
    </row>
    <row r="9" spans="1:7" ht="13.8" thickBot="1">
      <c r="A9" s="1">
        <v>2</v>
      </c>
      <c r="B9" s="1" t="s">
        <v>52</v>
      </c>
      <c r="C9" s="28" t="s">
        <v>61</v>
      </c>
      <c r="D9" s="28" t="s">
        <v>62</v>
      </c>
      <c r="E9" s="28" t="s">
        <v>63</v>
      </c>
      <c r="F9" s="28" t="s">
        <v>48</v>
      </c>
    </row>
    <row r="10" spans="1:7" ht="27" thickBot="1">
      <c r="A10" s="1">
        <v>2</v>
      </c>
      <c r="B10" s="1" t="s">
        <v>52</v>
      </c>
      <c r="C10" s="28" t="s">
        <v>64</v>
      </c>
      <c r="D10" s="28" t="s">
        <v>65</v>
      </c>
      <c r="E10" s="28" t="s">
        <v>36</v>
      </c>
      <c r="F10" s="28" t="s">
        <v>37</v>
      </c>
    </row>
    <row r="11" spans="1:7" ht="13.8" thickBot="1">
      <c r="A11" s="1">
        <v>2</v>
      </c>
      <c r="B11" s="1" t="s">
        <v>52</v>
      </c>
      <c r="C11" s="28" t="s">
        <v>66</v>
      </c>
      <c r="D11" s="28" t="s">
        <v>67</v>
      </c>
      <c r="E11" s="28" t="s">
        <v>68</v>
      </c>
      <c r="F11" s="28" t="s">
        <v>69</v>
      </c>
    </row>
    <row r="12" spans="1:7" ht="13.8" thickBot="1">
      <c r="A12" s="1">
        <v>2</v>
      </c>
      <c r="B12" s="1" t="s">
        <v>52</v>
      </c>
      <c r="C12" s="28" t="s">
        <v>70</v>
      </c>
      <c r="D12" s="28" t="s">
        <v>71</v>
      </c>
      <c r="E12" s="28" t="s">
        <v>72</v>
      </c>
      <c r="F12" s="28" t="s">
        <v>73</v>
      </c>
    </row>
    <row r="13" spans="1:7" ht="13.8" thickBot="1">
      <c r="A13" s="1">
        <v>2</v>
      </c>
      <c r="B13" s="1" t="s">
        <v>74</v>
      </c>
      <c r="C13" s="28" t="s">
        <v>75</v>
      </c>
      <c r="D13" s="28" t="s">
        <v>76</v>
      </c>
      <c r="E13" s="28" t="s">
        <v>77</v>
      </c>
      <c r="F13" s="28" t="s">
        <v>78</v>
      </c>
    </row>
    <row r="14" spans="1:7" ht="27" thickBot="1">
      <c r="A14" s="1">
        <v>2</v>
      </c>
      <c r="B14" s="1" t="s">
        <v>74</v>
      </c>
      <c r="C14" s="28" t="s">
        <v>79</v>
      </c>
      <c r="D14" s="28" t="s">
        <v>80</v>
      </c>
      <c r="E14" s="28" t="s">
        <v>81</v>
      </c>
      <c r="F14" s="28" t="s">
        <v>82</v>
      </c>
    </row>
    <row r="15" spans="1:7" ht="13.8" thickBot="1">
      <c r="A15" s="1">
        <v>3</v>
      </c>
      <c r="B15" s="1" t="s">
        <v>83</v>
      </c>
      <c r="C15" s="28" t="s">
        <v>84</v>
      </c>
      <c r="D15" s="28" t="s">
        <v>85</v>
      </c>
      <c r="E15" s="28" t="s">
        <v>86</v>
      </c>
      <c r="F15" s="28" t="s">
        <v>41</v>
      </c>
    </row>
    <row r="16" spans="1:7" ht="13.8" thickBot="1">
      <c r="A16" s="1">
        <v>3</v>
      </c>
      <c r="B16" s="1" t="s">
        <v>83</v>
      </c>
      <c r="C16" s="28" t="s">
        <v>87</v>
      </c>
      <c r="D16" s="28" t="s">
        <v>88</v>
      </c>
      <c r="E16" s="28" t="s">
        <v>89</v>
      </c>
      <c r="F16" s="28" t="s">
        <v>48</v>
      </c>
    </row>
    <row r="17" spans="1:7" ht="13.8" thickBot="1">
      <c r="A17" s="1">
        <v>3</v>
      </c>
      <c r="B17" s="1" t="s">
        <v>83</v>
      </c>
      <c r="C17" s="28" t="s">
        <v>90</v>
      </c>
      <c r="D17" s="28" t="s">
        <v>88</v>
      </c>
      <c r="E17" s="28" t="s">
        <v>91</v>
      </c>
      <c r="F17" s="28" t="s">
        <v>48</v>
      </c>
    </row>
    <row r="18" spans="1:7" ht="13.8" thickBot="1">
      <c r="A18" s="1">
        <v>3</v>
      </c>
      <c r="B18" s="1" t="s">
        <v>92</v>
      </c>
      <c r="C18" s="28" t="s">
        <v>93</v>
      </c>
      <c r="D18" s="28" t="s">
        <v>94</v>
      </c>
      <c r="E18" s="28" t="s">
        <v>95</v>
      </c>
      <c r="F18" s="28" t="s">
        <v>96</v>
      </c>
    </row>
    <row r="19" spans="1:7" ht="13.8" thickBot="1">
      <c r="A19" s="1">
        <v>3</v>
      </c>
      <c r="B19" s="1" t="s">
        <v>92</v>
      </c>
      <c r="C19" s="28" t="s">
        <v>97</v>
      </c>
      <c r="D19" s="28" t="s">
        <v>98</v>
      </c>
      <c r="E19" s="28" t="s">
        <v>99</v>
      </c>
      <c r="F19" s="28" t="s">
        <v>96</v>
      </c>
    </row>
    <row r="20" spans="1:7" ht="13.8" thickBot="1">
      <c r="A20" s="1">
        <v>3</v>
      </c>
      <c r="B20" s="1" t="s">
        <v>100</v>
      </c>
      <c r="C20" s="28" t="s">
        <v>101</v>
      </c>
      <c r="D20" s="28" t="s">
        <v>102</v>
      </c>
      <c r="E20" s="28" t="s">
        <v>103</v>
      </c>
      <c r="F20" s="28" t="s">
        <v>104</v>
      </c>
    </row>
    <row r="21" spans="1:7" ht="13.8" thickBot="1">
      <c r="A21" s="1">
        <v>3</v>
      </c>
      <c r="B21" s="1" t="s">
        <v>100</v>
      </c>
      <c r="C21" s="28" t="s">
        <v>105</v>
      </c>
      <c r="D21" s="28" t="s">
        <v>106</v>
      </c>
      <c r="E21" s="28" t="s">
        <v>107</v>
      </c>
      <c r="F21" s="28" t="s">
        <v>108</v>
      </c>
    </row>
    <row r="22" spans="1:7" ht="79.8" thickBot="1">
      <c r="A22" s="1">
        <v>3</v>
      </c>
      <c r="B22" s="1" t="s">
        <v>109</v>
      </c>
      <c r="C22" s="28" t="s">
        <v>598</v>
      </c>
      <c r="D22" s="28" t="s">
        <v>110</v>
      </c>
      <c r="E22" s="28" t="s">
        <v>111</v>
      </c>
      <c r="F22" s="28" t="s">
        <v>37</v>
      </c>
      <c r="G22" s="300" t="s">
        <v>599</v>
      </c>
    </row>
    <row r="23" spans="1:7" ht="13.8" thickBot="1">
      <c r="A23" s="1">
        <v>4</v>
      </c>
      <c r="B23" s="1" t="s">
        <v>112</v>
      </c>
      <c r="C23" s="28" t="s">
        <v>113</v>
      </c>
      <c r="D23" s="28" t="s">
        <v>114</v>
      </c>
      <c r="E23" s="28" t="s">
        <v>77</v>
      </c>
      <c r="F23" s="28" t="s">
        <v>37</v>
      </c>
    </row>
    <row r="24" spans="1:7" ht="13.8" thickBot="1">
      <c r="A24" s="1">
        <v>4</v>
      </c>
      <c r="B24" s="1" t="s">
        <v>112</v>
      </c>
      <c r="C24" s="28" t="s">
        <v>115</v>
      </c>
      <c r="D24" s="28" t="s">
        <v>116</v>
      </c>
      <c r="E24" s="28" t="s">
        <v>117</v>
      </c>
      <c r="F24" s="28" t="s">
        <v>48</v>
      </c>
    </row>
    <row r="25" spans="1:7" ht="13.8" thickBot="1">
      <c r="A25" s="1">
        <v>5</v>
      </c>
      <c r="B25" s="1" t="s">
        <v>92</v>
      </c>
      <c r="C25" s="28" t="s">
        <v>118</v>
      </c>
      <c r="D25" s="28" t="s">
        <v>119</v>
      </c>
      <c r="E25" s="28" t="s">
        <v>120</v>
      </c>
      <c r="F25" s="28" t="s">
        <v>96</v>
      </c>
    </row>
    <row r="26" spans="1:7" ht="13.8" thickBot="1">
      <c r="A26" s="1">
        <v>5</v>
      </c>
      <c r="B26" s="1" t="s">
        <v>92</v>
      </c>
      <c r="C26" s="28" t="s">
        <v>121</v>
      </c>
      <c r="D26" s="28" t="s">
        <v>119</v>
      </c>
      <c r="E26" s="28" t="s">
        <v>122</v>
      </c>
      <c r="F26" s="28" t="s">
        <v>48</v>
      </c>
    </row>
    <row r="27" spans="1:7" ht="13.8" thickBot="1">
      <c r="A27" s="1">
        <v>5</v>
      </c>
      <c r="B27" s="1" t="s">
        <v>92</v>
      </c>
      <c r="C27" s="28" t="s">
        <v>123</v>
      </c>
      <c r="D27" s="28" t="s">
        <v>124</v>
      </c>
      <c r="E27" s="28" t="s">
        <v>125</v>
      </c>
      <c r="F27" s="28" t="s">
        <v>126</v>
      </c>
    </row>
    <row r="28" spans="1:7" ht="13.8" thickBot="1">
      <c r="A28" s="1">
        <v>5</v>
      </c>
      <c r="B28" s="1" t="s">
        <v>92</v>
      </c>
      <c r="C28" s="28" t="s">
        <v>127</v>
      </c>
      <c r="D28" s="28" t="s">
        <v>128</v>
      </c>
      <c r="E28" s="28" t="s">
        <v>129</v>
      </c>
      <c r="F28" s="28" t="s">
        <v>96</v>
      </c>
    </row>
    <row r="29" spans="1:7" ht="13.8" thickBot="1">
      <c r="A29" s="1">
        <v>5</v>
      </c>
      <c r="B29" s="1" t="s">
        <v>92</v>
      </c>
      <c r="C29" s="28" t="s">
        <v>130</v>
      </c>
      <c r="D29" s="28" t="s">
        <v>128</v>
      </c>
      <c r="E29" s="28" t="s">
        <v>131</v>
      </c>
      <c r="F29" s="28" t="s">
        <v>132</v>
      </c>
    </row>
    <row r="30" spans="1:7" ht="13.8" thickBot="1">
      <c r="A30" s="1">
        <v>5</v>
      </c>
      <c r="B30" s="1" t="s">
        <v>92</v>
      </c>
      <c r="C30" s="28" t="s">
        <v>133</v>
      </c>
      <c r="D30" s="28" t="s">
        <v>134</v>
      </c>
      <c r="E30" s="28" t="s">
        <v>135</v>
      </c>
      <c r="F30" s="28" t="s">
        <v>96</v>
      </c>
    </row>
    <row r="31" spans="1:7" ht="13.8" thickBot="1">
      <c r="A31" s="1">
        <v>6</v>
      </c>
      <c r="B31" s="1" t="s">
        <v>52</v>
      </c>
      <c r="C31" s="28" t="s">
        <v>136</v>
      </c>
      <c r="D31" s="28" t="s">
        <v>137</v>
      </c>
      <c r="E31" s="28" t="s">
        <v>138</v>
      </c>
      <c r="F31" s="28" t="s">
        <v>48</v>
      </c>
    </row>
    <row r="32" spans="1:7" ht="13.8" thickBot="1">
      <c r="A32" s="1">
        <v>6</v>
      </c>
      <c r="B32" s="1" t="s">
        <v>52</v>
      </c>
      <c r="C32" s="28" t="s">
        <v>139</v>
      </c>
      <c r="D32" s="28" t="s">
        <v>140</v>
      </c>
      <c r="E32" s="28" t="s">
        <v>141</v>
      </c>
      <c r="F32" s="28" t="s">
        <v>96</v>
      </c>
    </row>
    <row r="33" spans="1:6" ht="13.8" thickBot="1">
      <c r="A33" s="1">
        <v>6</v>
      </c>
      <c r="B33" s="1" t="s">
        <v>52</v>
      </c>
      <c r="C33" s="28" t="s">
        <v>142</v>
      </c>
      <c r="D33" s="28" t="s">
        <v>143</v>
      </c>
      <c r="E33" s="28" t="s">
        <v>144</v>
      </c>
      <c r="F33" s="28" t="s">
        <v>145</v>
      </c>
    </row>
    <row r="34" spans="1:6" ht="13.8" thickBot="1">
      <c r="A34" s="1">
        <v>6</v>
      </c>
      <c r="B34" s="1" t="s">
        <v>52</v>
      </c>
      <c r="C34" s="28" t="s">
        <v>146</v>
      </c>
      <c r="D34" s="28" t="s">
        <v>147</v>
      </c>
      <c r="E34" s="28" t="s">
        <v>148</v>
      </c>
      <c r="F34" s="28" t="s">
        <v>48</v>
      </c>
    </row>
  </sheetData>
  <autoFilter ref="A1:F1" xr:uid="{809A5E43-4A14-48DA-BDAC-16E322D453EF}">
    <sortState xmlns:xlrd2="http://schemas.microsoft.com/office/spreadsheetml/2017/richdata2" ref="A2:F34">
      <sortCondition ref="A1"/>
    </sortState>
  </autoFilter>
  <hyperlinks>
    <hyperlink ref="G8" r:id="rId1" xr:uid="{1035DBB3-08A4-4C32-9A63-E33631B1D27F}"/>
    <hyperlink ref="G22" r:id="rId2" xr:uid="{FC99CEFE-E521-4AE4-BA08-EAD0A769954F}"/>
  </hyperlinks>
  <pageMargins left="0.75" right="0.75" top="1" bottom="1" header="0.5" footer="0.5"/>
  <pageSetup orientation="portrait" horizontalDpi="4294967293" verticalDpi="4294967293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1D7D0-22DB-4234-AB21-E07B247853A8}">
  <sheetPr>
    <tabColor rgb="FF002060"/>
  </sheetPr>
  <dimension ref="A1:T31"/>
  <sheetViews>
    <sheetView workbookViewId="0">
      <selection activeCell="A10" sqref="A10"/>
    </sheetView>
  </sheetViews>
  <sheetFormatPr defaultColWidth="8.88671875" defaultRowHeight="13.2"/>
  <cols>
    <col min="1" max="1" width="16.44140625" style="1" customWidth="1"/>
    <col min="2" max="2" width="8.88671875" style="1" customWidth="1"/>
    <col min="3" max="3" width="10" style="1" customWidth="1"/>
    <col min="4" max="4" width="7.21875" style="1" customWidth="1"/>
    <col min="5" max="5" width="6.44140625" style="1" customWidth="1"/>
    <col min="6" max="6" width="7.88671875" style="1" customWidth="1"/>
    <col min="7" max="7" width="5.88671875" style="1" customWidth="1"/>
    <col min="8" max="8" width="7.21875" style="1" customWidth="1"/>
    <col min="9" max="9" width="8.77734375" style="1" customWidth="1"/>
    <col min="10" max="10" width="8.88671875" style="1" customWidth="1"/>
    <col min="11" max="11" width="16.109375" style="3" customWidth="1"/>
    <col min="12" max="12" width="17" style="3" customWidth="1"/>
    <col min="13" max="256" width="8.88671875" style="1"/>
    <col min="257" max="257" width="16.44140625" style="1" customWidth="1"/>
    <col min="258" max="258" width="8.88671875" style="1"/>
    <col min="259" max="259" width="10" style="1" customWidth="1"/>
    <col min="260" max="260" width="7.21875" style="1" customWidth="1"/>
    <col min="261" max="261" width="6.44140625" style="1" customWidth="1"/>
    <col min="262" max="262" width="7.88671875" style="1" customWidth="1"/>
    <col min="263" max="263" width="5.88671875" style="1" customWidth="1"/>
    <col min="264" max="264" width="7.21875" style="1" customWidth="1"/>
    <col min="265" max="265" width="7" style="1" customWidth="1"/>
    <col min="266" max="266" width="8.88671875" style="1"/>
    <col min="267" max="267" width="16.109375" style="1" customWidth="1"/>
    <col min="268" max="268" width="17" style="1" customWidth="1"/>
    <col min="269" max="512" width="8.88671875" style="1"/>
    <col min="513" max="513" width="16.44140625" style="1" customWidth="1"/>
    <col min="514" max="514" width="8.88671875" style="1"/>
    <col min="515" max="515" width="10" style="1" customWidth="1"/>
    <col min="516" max="516" width="7.21875" style="1" customWidth="1"/>
    <col min="517" max="517" width="6.44140625" style="1" customWidth="1"/>
    <col min="518" max="518" width="7.88671875" style="1" customWidth="1"/>
    <col min="519" max="519" width="5.88671875" style="1" customWidth="1"/>
    <col min="520" max="520" width="7.21875" style="1" customWidth="1"/>
    <col min="521" max="521" width="7" style="1" customWidth="1"/>
    <col min="522" max="522" width="8.88671875" style="1"/>
    <col min="523" max="523" width="16.109375" style="1" customWidth="1"/>
    <col min="524" max="524" width="17" style="1" customWidth="1"/>
    <col min="525" max="768" width="8.88671875" style="1"/>
    <col min="769" max="769" width="16.44140625" style="1" customWidth="1"/>
    <col min="770" max="770" width="8.88671875" style="1"/>
    <col min="771" max="771" width="10" style="1" customWidth="1"/>
    <col min="772" max="772" width="7.21875" style="1" customWidth="1"/>
    <col min="773" max="773" width="6.44140625" style="1" customWidth="1"/>
    <col min="774" max="774" width="7.88671875" style="1" customWidth="1"/>
    <col min="775" max="775" width="5.88671875" style="1" customWidth="1"/>
    <col min="776" max="776" width="7.21875" style="1" customWidth="1"/>
    <col min="777" max="777" width="7" style="1" customWidth="1"/>
    <col min="778" max="778" width="8.88671875" style="1"/>
    <col min="779" max="779" width="16.109375" style="1" customWidth="1"/>
    <col min="780" max="780" width="17" style="1" customWidth="1"/>
    <col min="781" max="1024" width="8.88671875" style="1"/>
    <col min="1025" max="1025" width="16.44140625" style="1" customWidth="1"/>
    <col min="1026" max="1026" width="8.88671875" style="1"/>
    <col min="1027" max="1027" width="10" style="1" customWidth="1"/>
    <col min="1028" max="1028" width="7.21875" style="1" customWidth="1"/>
    <col min="1029" max="1029" width="6.44140625" style="1" customWidth="1"/>
    <col min="1030" max="1030" width="7.88671875" style="1" customWidth="1"/>
    <col min="1031" max="1031" width="5.88671875" style="1" customWidth="1"/>
    <col min="1032" max="1032" width="7.21875" style="1" customWidth="1"/>
    <col min="1033" max="1033" width="7" style="1" customWidth="1"/>
    <col min="1034" max="1034" width="8.88671875" style="1"/>
    <col min="1035" max="1035" width="16.109375" style="1" customWidth="1"/>
    <col min="1036" max="1036" width="17" style="1" customWidth="1"/>
    <col min="1037" max="1280" width="8.88671875" style="1"/>
    <col min="1281" max="1281" width="16.44140625" style="1" customWidth="1"/>
    <col min="1282" max="1282" width="8.88671875" style="1"/>
    <col min="1283" max="1283" width="10" style="1" customWidth="1"/>
    <col min="1284" max="1284" width="7.21875" style="1" customWidth="1"/>
    <col min="1285" max="1285" width="6.44140625" style="1" customWidth="1"/>
    <col min="1286" max="1286" width="7.88671875" style="1" customWidth="1"/>
    <col min="1287" max="1287" width="5.88671875" style="1" customWidth="1"/>
    <col min="1288" max="1288" width="7.21875" style="1" customWidth="1"/>
    <col min="1289" max="1289" width="7" style="1" customWidth="1"/>
    <col min="1290" max="1290" width="8.88671875" style="1"/>
    <col min="1291" max="1291" width="16.109375" style="1" customWidth="1"/>
    <col min="1292" max="1292" width="17" style="1" customWidth="1"/>
    <col min="1293" max="1536" width="8.88671875" style="1"/>
    <col min="1537" max="1537" width="16.44140625" style="1" customWidth="1"/>
    <col min="1538" max="1538" width="8.88671875" style="1"/>
    <col min="1539" max="1539" width="10" style="1" customWidth="1"/>
    <col min="1540" max="1540" width="7.21875" style="1" customWidth="1"/>
    <col min="1541" max="1541" width="6.44140625" style="1" customWidth="1"/>
    <col min="1542" max="1542" width="7.88671875" style="1" customWidth="1"/>
    <col min="1543" max="1543" width="5.88671875" style="1" customWidth="1"/>
    <col min="1544" max="1544" width="7.21875" style="1" customWidth="1"/>
    <col min="1545" max="1545" width="7" style="1" customWidth="1"/>
    <col min="1546" max="1546" width="8.88671875" style="1"/>
    <col min="1547" max="1547" width="16.109375" style="1" customWidth="1"/>
    <col min="1548" max="1548" width="17" style="1" customWidth="1"/>
    <col min="1549" max="1792" width="8.88671875" style="1"/>
    <col min="1793" max="1793" width="16.44140625" style="1" customWidth="1"/>
    <col min="1794" max="1794" width="8.88671875" style="1"/>
    <col min="1795" max="1795" width="10" style="1" customWidth="1"/>
    <col min="1796" max="1796" width="7.21875" style="1" customWidth="1"/>
    <col min="1797" max="1797" width="6.44140625" style="1" customWidth="1"/>
    <col min="1798" max="1798" width="7.88671875" style="1" customWidth="1"/>
    <col min="1799" max="1799" width="5.88671875" style="1" customWidth="1"/>
    <col min="1800" max="1800" width="7.21875" style="1" customWidth="1"/>
    <col min="1801" max="1801" width="7" style="1" customWidth="1"/>
    <col min="1802" max="1802" width="8.88671875" style="1"/>
    <col min="1803" max="1803" width="16.109375" style="1" customWidth="1"/>
    <col min="1804" max="1804" width="17" style="1" customWidth="1"/>
    <col min="1805" max="2048" width="8.88671875" style="1"/>
    <col min="2049" max="2049" width="16.44140625" style="1" customWidth="1"/>
    <col min="2050" max="2050" width="8.88671875" style="1"/>
    <col min="2051" max="2051" width="10" style="1" customWidth="1"/>
    <col min="2052" max="2052" width="7.21875" style="1" customWidth="1"/>
    <col min="2053" max="2053" width="6.44140625" style="1" customWidth="1"/>
    <col min="2054" max="2054" width="7.88671875" style="1" customWidth="1"/>
    <col min="2055" max="2055" width="5.88671875" style="1" customWidth="1"/>
    <col min="2056" max="2056" width="7.21875" style="1" customWidth="1"/>
    <col min="2057" max="2057" width="7" style="1" customWidth="1"/>
    <col min="2058" max="2058" width="8.88671875" style="1"/>
    <col min="2059" max="2059" width="16.109375" style="1" customWidth="1"/>
    <col min="2060" max="2060" width="17" style="1" customWidth="1"/>
    <col min="2061" max="2304" width="8.88671875" style="1"/>
    <col min="2305" max="2305" width="16.44140625" style="1" customWidth="1"/>
    <col min="2306" max="2306" width="8.88671875" style="1"/>
    <col min="2307" max="2307" width="10" style="1" customWidth="1"/>
    <col min="2308" max="2308" width="7.21875" style="1" customWidth="1"/>
    <col min="2309" max="2309" width="6.44140625" style="1" customWidth="1"/>
    <col min="2310" max="2310" width="7.88671875" style="1" customWidth="1"/>
    <col min="2311" max="2311" width="5.88671875" style="1" customWidth="1"/>
    <col min="2312" max="2312" width="7.21875" style="1" customWidth="1"/>
    <col min="2313" max="2313" width="7" style="1" customWidth="1"/>
    <col min="2314" max="2314" width="8.88671875" style="1"/>
    <col min="2315" max="2315" width="16.109375" style="1" customWidth="1"/>
    <col min="2316" max="2316" width="17" style="1" customWidth="1"/>
    <col min="2317" max="2560" width="8.88671875" style="1"/>
    <col min="2561" max="2561" width="16.44140625" style="1" customWidth="1"/>
    <col min="2562" max="2562" width="8.88671875" style="1"/>
    <col min="2563" max="2563" width="10" style="1" customWidth="1"/>
    <col min="2564" max="2564" width="7.21875" style="1" customWidth="1"/>
    <col min="2565" max="2565" width="6.44140625" style="1" customWidth="1"/>
    <col min="2566" max="2566" width="7.88671875" style="1" customWidth="1"/>
    <col min="2567" max="2567" width="5.88671875" style="1" customWidth="1"/>
    <col min="2568" max="2568" width="7.21875" style="1" customWidth="1"/>
    <col min="2569" max="2569" width="7" style="1" customWidth="1"/>
    <col min="2570" max="2570" width="8.88671875" style="1"/>
    <col min="2571" max="2571" width="16.109375" style="1" customWidth="1"/>
    <col min="2572" max="2572" width="17" style="1" customWidth="1"/>
    <col min="2573" max="2816" width="8.88671875" style="1"/>
    <col min="2817" max="2817" width="16.44140625" style="1" customWidth="1"/>
    <col min="2818" max="2818" width="8.88671875" style="1"/>
    <col min="2819" max="2819" width="10" style="1" customWidth="1"/>
    <col min="2820" max="2820" width="7.21875" style="1" customWidth="1"/>
    <col min="2821" max="2821" width="6.44140625" style="1" customWidth="1"/>
    <col min="2822" max="2822" width="7.88671875" style="1" customWidth="1"/>
    <col min="2823" max="2823" width="5.88671875" style="1" customWidth="1"/>
    <col min="2824" max="2824" width="7.21875" style="1" customWidth="1"/>
    <col min="2825" max="2825" width="7" style="1" customWidth="1"/>
    <col min="2826" max="2826" width="8.88671875" style="1"/>
    <col min="2827" max="2827" width="16.109375" style="1" customWidth="1"/>
    <col min="2828" max="2828" width="17" style="1" customWidth="1"/>
    <col min="2829" max="3072" width="8.88671875" style="1"/>
    <col min="3073" max="3073" width="16.44140625" style="1" customWidth="1"/>
    <col min="3074" max="3074" width="8.88671875" style="1"/>
    <col min="3075" max="3075" width="10" style="1" customWidth="1"/>
    <col min="3076" max="3076" width="7.21875" style="1" customWidth="1"/>
    <col min="3077" max="3077" width="6.44140625" style="1" customWidth="1"/>
    <col min="3078" max="3078" width="7.88671875" style="1" customWidth="1"/>
    <col min="3079" max="3079" width="5.88671875" style="1" customWidth="1"/>
    <col min="3080" max="3080" width="7.21875" style="1" customWidth="1"/>
    <col min="3081" max="3081" width="7" style="1" customWidth="1"/>
    <col min="3082" max="3082" width="8.88671875" style="1"/>
    <col min="3083" max="3083" width="16.109375" style="1" customWidth="1"/>
    <col min="3084" max="3084" width="17" style="1" customWidth="1"/>
    <col min="3085" max="3328" width="8.88671875" style="1"/>
    <col min="3329" max="3329" width="16.44140625" style="1" customWidth="1"/>
    <col min="3330" max="3330" width="8.88671875" style="1"/>
    <col min="3331" max="3331" width="10" style="1" customWidth="1"/>
    <col min="3332" max="3332" width="7.21875" style="1" customWidth="1"/>
    <col min="3333" max="3333" width="6.44140625" style="1" customWidth="1"/>
    <col min="3334" max="3334" width="7.88671875" style="1" customWidth="1"/>
    <col min="3335" max="3335" width="5.88671875" style="1" customWidth="1"/>
    <col min="3336" max="3336" width="7.21875" style="1" customWidth="1"/>
    <col min="3337" max="3337" width="7" style="1" customWidth="1"/>
    <col min="3338" max="3338" width="8.88671875" style="1"/>
    <col min="3339" max="3339" width="16.109375" style="1" customWidth="1"/>
    <col min="3340" max="3340" width="17" style="1" customWidth="1"/>
    <col min="3341" max="3584" width="8.88671875" style="1"/>
    <col min="3585" max="3585" width="16.44140625" style="1" customWidth="1"/>
    <col min="3586" max="3586" width="8.88671875" style="1"/>
    <col min="3587" max="3587" width="10" style="1" customWidth="1"/>
    <col min="3588" max="3588" width="7.21875" style="1" customWidth="1"/>
    <col min="3589" max="3589" width="6.44140625" style="1" customWidth="1"/>
    <col min="3590" max="3590" width="7.88671875" style="1" customWidth="1"/>
    <col min="3591" max="3591" width="5.88671875" style="1" customWidth="1"/>
    <col min="3592" max="3592" width="7.21875" style="1" customWidth="1"/>
    <col min="3593" max="3593" width="7" style="1" customWidth="1"/>
    <col min="3594" max="3594" width="8.88671875" style="1"/>
    <col min="3595" max="3595" width="16.109375" style="1" customWidth="1"/>
    <col min="3596" max="3596" width="17" style="1" customWidth="1"/>
    <col min="3597" max="3840" width="8.88671875" style="1"/>
    <col min="3841" max="3841" width="16.44140625" style="1" customWidth="1"/>
    <col min="3842" max="3842" width="8.88671875" style="1"/>
    <col min="3843" max="3843" width="10" style="1" customWidth="1"/>
    <col min="3844" max="3844" width="7.21875" style="1" customWidth="1"/>
    <col min="3845" max="3845" width="6.44140625" style="1" customWidth="1"/>
    <col min="3846" max="3846" width="7.88671875" style="1" customWidth="1"/>
    <col min="3847" max="3847" width="5.88671875" style="1" customWidth="1"/>
    <col min="3848" max="3848" width="7.21875" style="1" customWidth="1"/>
    <col min="3849" max="3849" width="7" style="1" customWidth="1"/>
    <col min="3850" max="3850" width="8.88671875" style="1"/>
    <col min="3851" max="3851" width="16.109375" style="1" customWidth="1"/>
    <col min="3852" max="3852" width="17" style="1" customWidth="1"/>
    <col min="3853" max="4096" width="8.88671875" style="1"/>
    <col min="4097" max="4097" width="16.44140625" style="1" customWidth="1"/>
    <col min="4098" max="4098" width="8.88671875" style="1"/>
    <col min="4099" max="4099" width="10" style="1" customWidth="1"/>
    <col min="4100" max="4100" width="7.21875" style="1" customWidth="1"/>
    <col min="4101" max="4101" width="6.44140625" style="1" customWidth="1"/>
    <col min="4102" max="4102" width="7.88671875" style="1" customWidth="1"/>
    <col min="4103" max="4103" width="5.88671875" style="1" customWidth="1"/>
    <col min="4104" max="4104" width="7.21875" style="1" customWidth="1"/>
    <col min="4105" max="4105" width="7" style="1" customWidth="1"/>
    <col min="4106" max="4106" width="8.88671875" style="1"/>
    <col min="4107" max="4107" width="16.109375" style="1" customWidth="1"/>
    <col min="4108" max="4108" width="17" style="1" customWidth="1"/>
    <col min="4109" max="4352" width="8.88671875" style="1"/>
    <col min="4353" max="4353" width="16.44140625" style="1" customWidth="1"/>
    <col min="4354" max="4354" width="8.88671875" style="1"/>
    <col min="4355" max="4355" width="10" style="1" customWidth="1"/>
    <col min="4356" max="4356" width="7.21875" style="1" customWidth="1"/>
    <col min="4357" max="4357" width="6.44140625" style="1" customWidth="1"/>
    <col min="4358" max="4358" width="7.88671875" style="1" customWidth="1"/>
    <col min="4359" max="4359" width="5.88671875" style="1" customWidth="1"/>
    <col min="4360" max="4360" width="7.21875" style="1" customWidth="1"/>
    <col min="4361" max="4361" width="7" style="1" customWidth="1"/>
    <col min="4362" max="4362" width="8.88671875" style="1"/>
    <col min="4363" max="4363" width="16.109375" style="1" customWidth="1"/>
    <col min="4364" max="4364" width="17" style="1" customWidth="1"/>
    <col min="4365" max="4608" width="8.88671875" style="1"/>
    <col min="4609" max="4609" width="16.44140625" style="1" customWidth="1"/>
    <col min="4610" max="4610" width="8.88671875" style="1"/>
    <col min="4611" max="4611" width="10" style="1" customWidth="1"/>
    <col min="4612" max="4612" width="7.21875" style="1" customWidth="1"/>
    <col min="4613" max="4613" width="6.44140625" style="1" customWidth="1"/>
    <col min="4614" max="4614" width="7.88671875" style="1" customWidth="1"/>
    <col min="4615" max="4615" width="5.88671875" style="1" customWidth="1"/>
    <col min="4616" max="4616" width="7.21875" style="1" customWidth="1"/>
    <col min="4617" max="4617" width="7" style="1" customWidth="1"/>
    <col min="4618" max="4618" width="8.88671875" style="1"/>
    <col min="4619" max="4619" width="16.109375" style="1" customWidth="1"/>
    <col min="4620" max="4620" width="17" style="1" customWidth="1"/>
    <col min="4621" max="4864" width="8.88671875" style="1"/>
    <col min="4865" max="4865" width="16.44140625" style="1" customWidth="1"/>
    <col min="4866" max="4866" width="8.88671875" style="1"/>
    <col min="4867" max="4867" width="10" style="1" customWidth="1"/>
    <col min="4868" max="4868" width="7.21875" style="1" customWidth="1"/>
    <col min="4869" max="4869" width="6.44140625" style="1" customWidth="1"/>
    <col min="4870" max="4870" width="7.88671875" style="1" customWidth="1"/>
    <col min="4871" max="4871" width="5.88671875" style="1" customWidth="1"/>
    <col min="4872" max="4872" width="7.21875" style="1" customWidth="1"/>
    <col min="4873" max="4873" width="7" style="1" customWidth="1"/>
    <col min="4874" max="4874" width="8.88671875" style="1"/>
    <col min="4875" max="4875" width="16.109375" style="1" customWidth="1"/>
    <col min="4876" max="4876" width="17" style="1" customWidth="1"/>
    <col min="4877" max="5120" width="8.88671875" style="1"/>
    <col min="5121" max="5121" width="16.44140625" style="1" customWidth="1"/>
    <col min="5122" max="5122" width="8.88671875" style="1"/>
    <col min="5123" max="5123" width="10" style="1" customWidth="1"/>
    <col min="5124" max="5124" width="7.21875" style="1" customWidth="1"/>
    <col min="5125" max="5125" width="6.44140625" style="1" customWidth="1"/>
    <col min="5126" max="5126" width="7.88671875" style="1" customWidth="1"/>
    <col min="5127" max="5127" width="5.88671875" style="1" customWidth="1"/>
    <col min="5128" max="5128" width="7.21875" style="1" customWidth="1"/>
    <col min="5129" max="5129" width="7" style="1" customWidth="1"/>
    <col min="5130" max="5130" width="8.88671875" style="1"/>
    <col min="5131" max="5131" width="16.109375" style="1" customWidth="1"/>
    <col min="5132" max="5132" width="17" style="1" customWidth="1"/>
    <col min="5133" max="5376" width="8.88671875" style="1"/>
    <col min="5377" max="5377" width="16.44140625" style="1" customWidth="1"/>
    <col min="5378" max="5378" width="8.88671875" style="1"/>
    <col min="5379" max="5379" width="10" style="1" customWidth="1"/>
    <col min="5380" max="5380" width="7.21875" style="1" customWidth="1"/>
    <col min="5381" max="5381" width="6.44140625" style="1" customWidth="1"/>
    <col min="5382" max="5382" width="7.88671875" style="1" customWidth="1"/>
    <col min="5383" max="5383" width="5.88671875" style="1" customWidth="1"/>
    <col min="5384" max="5384" width="7.21875" style="1" customWidth="1"/>
    <col min="5385" max="5385" width="7" style="1" customWidth="1"/>
    <col min="5386" max="5386" width="8.88671875" style="1"/>
    <col min="5387" max="5387" width="16.109375" style="1" customWidth="1"/>
    <col min="5388" max="5388" width="17" style="1" customWidth="1"/>
    <col min="5389" max="5632" width="8.88671875" style="1"/>
    <col min="5633" max="5633" width="16.44140625" style="1" customWidth="1"/>
    <col min="5634" max="5634" width="8.88671875" style="1"/>
    <col min="5635" max="5635" width="10" style="1" customWidth="1"/>
    <col min="5636" max="5636" width="7.21875" style="1" customWidth="1"/>
    <col min="5637" max="5637" width="6.44140625" style="1" customWidth="1"/>
    <col min="5638" max="5638" width="7.88671875" style="1" customWidth="1"/>
    <col min="5639" max="5639" width="5.88671875" style="1" customWidth="1"/>
    <col min="5640" max="5640" width="7.21875" style="1" customWidth="1"/>
    <col min="5641" max="5641" width="7" style="1" customWidth="1"/>
    <col min="5642" max="5642" width="8.88671875" style="1"/>
    <col min="5643" max="5643" width="16.109375" style="1" customWidth="1"/>
    <col min="5644" max="5644" width="17" style="1" customWidth="1"/>
    <col min="5645" max="5888" width="8.88671875" style="1"/>
    <col min="5889" max="5889" width="16.44140625" style="1" customWidth="1"/>
    <col min="5890" max="5890" width="8.88671875" style="1"/>
    <col min="5891" max="5891" width="10" style="1" customWidth="1"/>
    <col min="5892" max="5892" width="7.21875" style="1" customWidth="1"/>
    <col min="5893" max="5893" width="6.44140625" style="1" customWidth="1"/>
    <col min="5894" max="5894" width="7.88671875" style="1" customWidth="1"/>
    <col min="5895" max="5895" width="5.88671875" style="1" customWidth="1"/>
    <col min="5896" max="5896" width="7.21875" style="1" customWidth="1"/>
    <col min="5897" max="5897" width="7" style="1" customWidth="1"/>
    <col min="5898" max="5898" width="8.88671875" style="1"/>
    <col min="5899" max="5899" width="16.109375" style="1" customWidth="1"/>
    <col min="5900" max="5900" width="17" style="1" customWidth="1"/>
    <col min="5901" max="6144" width="8.88671875" style="1"/>
    <col min="6145" max="6145" width="16.44140625" style="1" customWidth="1"/>
    <col min="6146" max="6146" width="8.88671875" style="1"/>
    <col min="6147" max="6147" width="10" style="1" customWidth="1"/>
    <col min="6148" max="6148" width="7.21875" style="1" customWidth="1"/>
    <col min="6149" max="6149" width="6.44140625" style="1" customWidth="1"/>
    <col min="6150" max="6150" width="7.88671875" style="1" customWidth="1"/>
    <col min="6151" max="6151" width="5.88671875" style="1" customWidth="1"/>
    <col min="6152" max="6152" width="7.21875" style="1" customWidth="1"/>
    <col min="6153" max="6153" width="7" style="1" customWidth="1"/>
    <col min="6154" max="6154" width="8.88671875" style="1"/>
    <col min="6155" max="6155" width="16.109375" style="1" customWidth="1"/>
    <col min="6156" max="6156" width="17" style="1" customWidth="1"/>
    <col min="6157" max="6400" width="8.88671875" style="1"/>
    <col min="6401" max="6401" width="16.44140625" style="1" customWidth="1"/>
    <col min="6402" max="6402" width="8.88671875" style="1"/>
    <col min="6403" max="6403" width="10" style="1" customWidth="1"/>
    <col min="6404" max="6404" width="7.21875" style="1" customWidth="1"/>
    <col min="6405" max="6405" width="6.44140625" style="1" customWidth="1"/>
    <col min="6406" max="6406" width="7.88671875" style="1" customWidth="1"/>
    <col min="6407" max="6407" width="5.88671875" style="1" customWidth="1"/>
    <col min="6408" max="6408" width="7.21875" style="1" customWidth="1"/>
    <col min="6409" max="6409" width="7" style="1" customWidth="1"/>
    <col min="6410" max="6410" width="8.88671875" style="1"/>
    <col min="6411" max="6411" width="16.109375" style="1" customWidth="1"/>
    <col min="6412" max="6412" width="17" style="1" customWidth="1"/>
    <col min="6413" max="6656" width="8.88671875" style="1"/>
    <col min="6657" max="6657" width="16.44140625" style="1" customWidth="1"/>
    <col min="6658" max="6658" width="8.88671875" style="1"/>
    <col min="6659" max="6659" width="10" style="1" customWidth="1"/>
    <col min="6660" max="6660" width="7.21875" style="1" customWidth="1"/>
    <col min="6661" max="6661" width="6.44140625" style="1" customWidth="1"/>
    <col min="6662" max="6662" width="7.88671875" style="1" customWidth="1"/>
    <col min="6663" max="6663" width="5.88671875" style="1" customWidth="1"/>
    <col min="6664" max="6664" width="7.21875" style="1" customWidth="1"/>
    <col min="6665" max="6665" width="7" style="1" customWidth="1"/>
    <col min="6666" max="6666" width="8.88671875" style="1"/>
    <col min="6667" max="6667" width="16.109375" style="1" customWidth="1"/>
    <col min="6668" max="6668" width="17" style="1" customWidth="1"/>
    <col min="6669" max="6912" width="8.88671875" style="1"/>
    <col min="6913" max="6913" width="16.44140625" style="1" customWidth="1"/>
    <col min="6914" max="6914" width="8.88671875" style="1"/>
    <col min="6915" max="6915" width="10" style="1" customWidth="1"/>
    <col min="6916" max="6916" width="7.21875" style="1" customWidth="1"/>
    <col min="6917" max="6917" width="6.44140625" style="1" customWidth="1"/>
    <col min="6918" max="6918" width="7.88671875" style="1" customWidth="1"/>
    <col min="6919" max="6919" width="5.88671875" style="1" customWidth="1"/>
    <col min="6920" max="6920" width="7.21875" style="1" customWidth="1"/>
    <col min="6921" max="6921" width="7" style="1" customWidth="1"/>
    <col min="6922" max="6922" width="8.88671875" style="1"/>
    <col min="6923" max="6923" width="16.109375" style="1" customWidth="1"/>
    <col min="6924" max="6924" width="17" style="1" customWidth="1"/>
    <col min="6925" max="7168" width="8.88671875" style="1"/>
    <col min="7169" max="7169" width="16.44140625" style="1" customWidth="1"/>
    <col min="7170" max="7170" width="8.88671875" style="1"/>
    <col min="7171" max="7171" width="10" style="1" customWidth="1"/>
    <col min="7172" max="7172" width="7.21875" style="1" customWidth="1"/>
    <col min="7173" max="7173" width="6.44140625" style="1" customWidth="1"/>
    <col min="7174" max="7174" width="7.88671875" style="1" customWidth="1"/>
    <col min="7175" max="7175" width="5.88671875" style="1" customWidth="1"/>
    <col min="7176" max="7176" width="7.21875" style="1" customWidth="1"/>
    <col min="7177" max="7177" width="7" style="1" customWidth="1"/>
    <col min="7178" max="7178" width="8.88671875" style="1"/>
    <col min="7179" max="7179" width="16.109375" style="1" customWidth="1"/>
    <col min="7180" max="7180" width="17" style="1" customWidth="1"/>
    <col min="7181" max="7424" width="8.88671875" style="1"/>
    <col min="7425" max="7425" width="16.44140625" style="1" customWidth="1"/>
    <col min="7426" max="7426" width="8.88671875" style="1"/>
    <col min="7427" max="7427" width="10" style="1" customWidth="1"/>
    <col min="7428" max="7428" width="7.21875" style="1" customWidth="1"/>
    <col min="7429" max="7429" width="6.44140625" style="1" customWidth="1"/>
    <col min="7430" max="7430" width="7.88671875" style="1" customWidth="1"/>
    <col min="7431" max="7431" width="5.88671875" style="1" customWidth="1"/>
    <col min="7432" max="7432" width="7.21875" style="1" customWidth="1"/>
    <col min="7433" max="7433" width="7" style="1" customWidth="1"/>
    <col min="7434" max="7434" width="8.88671875" style="1"/>
    <col min="7435" max="7435" width="16.109375" style="1" customWidth="1"/>
    <col min="7436" max="7436" width="17" style="1" customWidth="1"/>
    <col min="7437" max="7680" width="8.88671875" style="1"/>
    <col min="7681" max="7681" width="16.44140625" style="1" customWidth="1"/>
    <col min="7682" max="7682" width="8.88671875" style="1"/>
    <col min="7683" max="7683" width="10" style="1" customWidth="1"/>
    <col min="7684" max="7684" width="7.21875" style="1" customWidth="1"/>
    <col min="7685" max="7685" width="6.44140625" style="1" customWidth="1"/>
    <col min="7686" max="7686" width="7.88671875" style="1" customWidth="1"/>
    <col min="7687" max="7687" width="5.88671875" style="1" customWidth="1"/>
    <col min="7688" max="7688" width="7.21875" style="1" customWidth="1"/>
    <col min="7689" max="7689" width="7" style="1" customWidth="1"/>
    <col min="7690" max="7690" width="8.88671875" style="1"/>
    <col min="7691" max="7691" width="16.109375" style="1" customWidth="1"/>
    <col min="7692" max="7692" width="17" style="1" customWidth="1"/>
    <col min="7693" max="7936" width="8.88671875" style="1"/>
    <col min="7937" max="7937" width="16.44140625" style="1" customWidth="1"/>
    <col min="7938" max="7938" width="8.88671875" style="1"/>
    <col min="7939" max="7939" width="10" style="1" customWidth="1"/>
    <col min="7940" max="7940" width="7.21875" style="1" customWidth="1"/>
    <col min="7941" max="7941" width="6.44140625" style="1" customWidth="1"/>
    <col min="7942" max="7942" width="7.88671875" style="1" customWidth="1"/>
    <col min="7943" max="7943" width="5.88671875" style="1" customWidth="1"/>
    <col min="7944" max="7944" width="7.21875" style="1" customWidth="1"/>
    <col min="7945" max="7945" width="7" style="1" customWidth="1"/>
    <col min="7946" max="7946" width="8.88671875" style="1"/>
    <col min="7947" max="7947" width="16.109375" style="1" customWidth="1"/>
    <col min="7948" max="7948" width="17" style="1" customWidth="1"/>
    <col min="7949" max="8192" width="8.88671875" style="1"/>
    <col min="8193" max="8193" width="16.44140625" style="1" customWidth="1"/>
    <col min="8194" max="8194" width="8.88671875" style="1"/>
    <col min="8195" max="8195" width="10" style="1" customWidth="1"/>
    <col min="8196" max="8196" width="7.21875" style="1" customWidth="1"/>
    <col min="8197" max="8197" width="6.44140625" style="1" customWidth="1"/>
    <col min="8198" max="8198" width="7.88671875" style="1" customWidth="1"/>
    <col min="8199" max="8199" width="5.88671875" style="1" customWidth="1"/>
    <col min="8200" max="8200" width="7.21875" style="1" customWidth="1"/>
    <col min="8201" max="8201" width="7" style="1" customWidth="1"/>
    <col min="8202" max="8202" width="8.88671875" style="1"/>
    <col min="8203" max="8203" width="16.109375" style="1" customWidth="1"/>
    <col min="8204" max="8204" width="17" style="1" customWidth="1"/>
    <col min="8205" max="8448" width="8.88671875" style="1"/>
    <col min="8449" max="8449" width="16.44140625" style="1" customWidth="1"/>
    <col min="8450" max="8450" width="8.88671875" style="1"/>
    <col min="8451" max="8451" width="10" style="1" customWidth="1"/>
    <col min="8452" max="8452" width="7.21875" style="1" customWidth="1"/>
    <col min="8453" max="8453" width="6.44140625" style="1" customWidth="1"/>
    <col min="8454" max="8454" width="7.88671875" style="1" customWidth="1"/>
    <col min="8455" max="8455" width="5.88671875" style="1" customWidth="1"/>
    <col min="8456" max="8456" width="7.21875" style="1" customWidth="1"/>
    <col min="8457" max="8457" width="7" style="1" customWidth="1"/>
    <col min="8458" max="8458" width="8.88671875" style="1"/>
    <col min="8459" max="8459" width="16.109375" style="1" customWidth="1"/>
    <col min="8460" max="8460" width="17" style="1" customWidth="1"/>
    <col min="8461" max="8704" width="8.88671875" style="1"/>
    <col min="8705" max="8705" width="16.44140625" style="1" customWidth="1"/>
    <col min="8706" max="8706" width="8.88671875" style="1"/>
    <col min="8707" max="8707" width="10" style="1" customWidth="1"/>
    <col min="8708" max="8708" width="7.21875" style="1" customWidth="1"/>
    <col min="8709" max="8709" width="6.44140625" style="1" customWidth="1"/>
    <col min="8710" max="8710" width="7.88671875" style="1" customWidth="1"/>
    <col min="8711" max="8711" width="5.88671875" style="1" customWidth="1"/>
    <col min="8712" max="8712" width="7.21875" style="1" customWidth="1"/>
    <col min="8713" max="8713" width="7" style="1" customWidth="1"/>
    <col min="8714" max="8714" width="8.88671875" style="1"/>
    <col min="8715" max="8715" width="16.109375" style="1" customWidth="1"/>
    <col min="8716" max="8716" width="17" style="1" customWidth="1"/>
    <col min="8717" max="8960" width="8.88671875" style="1"/>
    <col min="8961" max="8961" width="16.44140625" style="1" customWidth="1"/>
    <col min="8962" max="8962" width="8.88671875" style="1"/>
    <col min="8963" max="8963" width="10" style="1" customWidth="1"/>
    <col min="8964" max="8964" width="7.21875" style="1" customWidth="1"/>
    <col min="8965" max="8965" width="6.44140625" style="1" customWidth="1"/>
    <col min="8966" max="8966" width="7.88671875" style="1" customWidth="1"/>
    <col min="8967" max="8967" width="5.88671875" style="1" customWidth="1"/>
    <col min="8968" max="8968" width="7.21875" style="1" customWidth="1"/>
    <col min="8969" max="8969" width="7" style="1" customWidth="1"/>
    <col min="8970" max="8970" width="8.88671875" style="1"/>
    <col min="8971" max="8971" width="16.109375" style="1" customWidth="1"/>
    <col min="8972" max="8972" width="17" style="1" customWidth="1"/>
    <col min="8973" max="9216" width="8.88671875" style="1"/>
    <col min="9217" max="9217" width="16.44140625" style="1" customWidth="1"/>
    <col min="9218" max="9218" width="8.88671875" style="1"/>
    <col min="9219" max="9219" width="10" style="1" customWidth="1"/>
    <col min="9220" max="9220" width="7.21875" style="1" customWidth="1"/>
    <col min="9221" max="9221" width="6.44140625" style="1" customWidth="1"/>
    <col min="9222" max="9222" width="7.88671875" style="1" customWidth="1"/>
    <col min="9223" max="9223" width="5.88671875" style="1" customWidth="1"/>
    <col min="9224" max="9224" width="7.21875" style="1" customWidth="1"/>
    <col min="9225" max="9225" width="7" style="1" customWidth="1"/>
    <col min="9226" max="9226" width="8.88671875" style="1"/>
    <col min="9227" max="9227" width="16.109375" style="1" customWidth="1"/>
    <col min="9228" max="9228" width="17" style="1" customWidth="1"/>
    <col min="9229" max="9472" width="8.88671875" style="1"/>
    <col min="9473" max="9473" width="16.44140625" style="1" customWidth="1"/>
    <col min="9474" max="9474" width="8.88671875" style="1"/>
    <col min="9475" max="9475" width="10" style="1" customWidth="1"/>
    <col min="9476" max="9476" width="7.21875" style="1" customWidth="1"/>
    <col min="9477" max="9477" width="6.44140625" style="1" customWidth="1"/>
    <col min="9478" max="9478" width="7.88671875" style="1" customWidth="1"/>
    <col min="9479" max="9479" width="5.88671875" style="1" customWidth="1"/>
    <col min="9480" max="9480" width="7.21875" style="1" customWidth="1"/>
    <col min="9481" max="9481" width="7" style="1" customWidth="1"/>
    <col min="9482" max="9482" width="8.88671875" style="1"/>
    <col min="9483" max="9483" width="16.109375" style="1" customWidth="1"/>
    <col min="9484" max="9484" width="17" style="1" customWidth="1"/>
    <col min="9485" max="9728" width="8.88671875" style="1"/>
    <col min="9729" max="9729" width="16.44140625" style="1" customWidth="1"/>
    <col min="9730" max="9730" width="8.88671875" style="1"/>
    <col min="9731" max="9731" width="10" style="1" customWidth="1"/>
    <col min="9732" max="9732" width="7.21875" style="1" customWidth="1"/>
    <col min="9733" max="9733" width="6.44140625" style="1" customWidth="1"/>
    <col min="9734" max="9734" width="7.88671875" style="1" customWidth="1"/>
    <col min="9735" max="9735" width="5.88671875" style="1" customWidth="1"/>
    <col min="9736" max="9736" width="7.21875" style="1" customWidth="1"/>
    <col min="9737" max="9737" width="7" style="1" customWidth="1"/>
    <col min="9738" max="9738" width="8.88671875" style="1"/>
    <col min="9739" max="9739" width="16.109375" style="1" customWidth="1"/>
    <col min="9740" max="9740" width="17" style="1" customWidth="1"/>
    <col min="9741" max="9984" width="8.88671875" style="1"/>
    <col min="9985" max="9985" width="16.44140625" style="1" customWidth="1"/>
    <col min="9986" max="9986" width="8.88671875" style="1"/>
    <col min="9987" max="9987" width="10" style="1" customWidth="1"/>
    <col min="9988" max="9988" width="7.21875" style="1" customWidth="1"/>
    <col min="9989" max="9989" width="6.44140625" style="1" customWidth="1"/>
    <col min="9990" max="9990" width="7.88671875" style="1" customWidth="1"/>
    <col min="9991" max="9991" width="5.88671875" style="1" customWidth="1"/>
    <col min="9992" max="9992" width="7.21875" style="1" customWidth="1"/>
    <col min="9993" max="9993" width="7" style="1" customWidth="1"/>
    <col min="9994" max="9994" width="8.88671875" style="1"/>
    <col min="9995" max="9995" width="16.109375" style="1" customWidth="1"/>
    <col min="9996" max="9996" width="17" style="1" customWidth="1"/>
    <col min="9997" max="10240" width="8.88671875" style="1"/>
    <col min="10241" max="10241" width="16.44140625" style="1" customWidth="1"/>
    <col min="10242" max="10242" width="8.88671875" style="1"/>
    <col min="10243" max="10243" width="10" style="1" customWidth="1"/>
    <col min="10244" max="10244" width="7.21875" style="1" customWidth="1"/>
    <col min="10245" max="10245" width="6.44140625" style="1" customWidth="1"/>
    <col min="10246" max="10246" width="7.88671875" style="1" customWidth="1"/>
    <col min="10247" max="10247" width="5.88671875" style="1" customWidth="1"/>
    <col min="10248" max="10248" width="7.21875" style="1" customWidth="1"/>
    <col min="10249" max="10249" width="7" style="1" customWidth="1"/>
    <col min="10250" max="10250" width="8.88671875" style="1"/>
    <col min="10251" max="10251" width="16.109375" style="1" customWidth="1"/>
    <col min="10252" max="10252" width="17" style="1" customWidth="1"/>
    <col min="10253" max="10496" width="8.88671875" style="1"/>
    <col min="10497" max="10497" width="16.44140625" style="1" customWidth="1"/>
    <col min="10498" max="10498" width="8.88671875" style="1"/>
    <col min="10499" max="10499" width="10" style="1" customWidth="1"/>
    <col min="10500" max="10500" width="7.21875" style="1" customWidth="1"/>
    <col min="10501" max="10501" width="6.44140625" style="1" customWidth="1"/>
    <col min="10502" max="10502" width="7.88671875" style="1" customWidth="1"/>
    <col min="10503" max="10503" width="5.88671875" style="1" customWidth="1"/>
    <col min="10504" max="10504" width="7.21875" style="1" customWidth="1"/>
    <col min="10505" max="10505" width="7" style="1" customWidth="1"/>
    <col min="10506" max="10506" width="8.88671875" style="1"/>
    <col min="10507" max="10507" width="16.109375" style="1" customWidth="1"/>
    <col min="10508" max="10508" width="17" style="1" customWidth="1"/>
    <col min="10509" max="10752" width="8.88671875" style="1"/>
    <col min="10753" max="10753" width="16.44140625" style="1" customWidth="1"/>
    <col min="10754" max="10754" width="8.88671875" style="1"/>
    <col min="10755" max="10755" width="10" style="1" customWidth="1"/>
    <col min="10756" max="10756" width="7.21875" style="1" customWidth="1"/>
    <col min="10757" max="10757" width="6.44140625" style="1" customWidth="1"/>
    <col min="10758" max="10758" width="7.88671875" style="1" customWidth="1"/>
    <col min="10759" max="10759" width="5.88671875" style="1" customWidth="1"/>
    <col min="10760" max="10760" width="7.21875" style="1" customWidth="1"/>
    <col min="10761" max="10761" width="7" style="1" customWidth="1"/>
    <col min="10762" max="10762" width="8.88671875" style="1"/>
    <col min="10763" max="10763" width="16.109375" style="1" customWidth="1"/>
    <col min="10764" max="10764" width="17" style="1" customWidth="1"/>
    <col min="10765" max="11008" width="8.88671875" style="1"/>
    <col min="11009" max="11009" width="16.44140625" style="1" customWidth="1"/>
    <col min="11010" max="11010" width="8.88671875" style="1"/>
    <col min="11011" max="11011" width="10" style="1" customWidth="1"/>
    <col min="11012" max="11012" width="7.21875" style="1" customWidth="1"/>
    <col min="11013" max="11013" width="6.44140625" style="1" customWidth="1"/>
    <col min="11014" max="11014" width="7.88671875" style="1" customWidth="1"/>
    <col min="11015" max="11015" width="5.88671875" style="1" customWidth="1"/>
    <col min="11016" max="11016" width="7.21875" style="1" customWidth="1"/>
    <col min="11017" max="11017" width="7" style="1" customWidth="1"/>
    <col min="11018" max="11018" width="8.88671875" style="1"/>
    <col min="11019" max="11019" width="16.109375" style="1" customWidth="1"/>
    <col min="11020" max="11020" width="17" style="1" customWidth="1"/>
    <col min="11021" max="11264" width="8.88671875" style="1"/>
    <col min="11265" max="11265" width="16.44140625" style="1" customWidth="1"/>
    <col min="11266" max="11266" width="8.88671875" style="1"/>
    <col min="11267" max="11267" width="10" style="1" customWidth="1"/>
    <col min="11268" max="11268" width="7.21875" style="1" customWidth="1"/>
    <col min="11269" max="11269" width="6.44140625" style="1" customWidth="1"/>
    <col min="11270" max="11270" width="7.88671875" style="1" customWidth="1"/>
    <col min="11271" max="11271" width="5.88671875" style="1" customWidth="1"/>
    <col min="11272" max="11272" width="7.21875" style="1" customWidth="1"/>
    <col min="11273" max="11273" width="7" style="1" customWidth="1"/>
    <col min="11274" max="11274" width="8.88671875" style="1"/>
    <col min="11275" max="11275" width="16.109375" style="1" customWidth="1"/>
    <col min="11276" max="11276" width="17" style="1" customWidth="1"/>
    <col min="11277" max="11520" width="8.88671875" style="1"/>
    <col min="11521" max="11521" width="16.44140625" style="1" customWidth="1"/>
    <col min="11522" max="11522" width="8.88671875" style="1"/>
    <col min="11523" max="11523" width="10" style="1" customWidth="1"/>
    <col min="11524" max="11524" width="7.21875" style="1" customWidth="1"/>
    <col min="11525" max="11525" width="6.44140625" style="1" customWidth="1"/>
    <col min="11526" max="11526" width="7.88671875" style="1" customWidth="1"/>
    <col min="11527" max="11527" width="5.88671875" style="1" customWidth="1"/>
    <col min="11528" max="11528" width="7.21875" style="1" customWidth="1"/>
    <col min="11529" max="11529" width="7" style="1" customWidth="1"/>
    <col min="11530" max="11530" width="8.88671875" style="1"/>
    <col min="11531" max="11531" width="16.109375" style="1" customWidth="1"/>
    <col min="11532" max="11532" width="17" style="1" customWidth="1"/>
    <col min="11533" max="11776" width="8.88671875" style="1"/>
    <col min="11777" max="11777" width="16.44140625" style="1" customWidth="1"/>
    <col min="11778" max="11778" width="8.88671875" style="1"/>
    <col min="11779" max="11779" width="10" style="1" customWidth="1"/>
    <col min="11780" max="11780" width="7.21875" style="1" customWidth="1"/>
    <col min="11781" max="11781" width="6.44140625" style="1" customWidth="1"/>
    <col min="11782" max="11782" width="7.88671875" style="1" customWidth="1"/>
    <col min="11783" max="11783" width="5.88671875" style="1" customWidth="1"/>
    <col min="11784" max="11784" width="7.21875" style="1" customWidth="1"/>
    <col min="11785" max="11785" width="7" style="1" customWidth="1"/>
    <col min="11786" max="11786" width="8.88671875" style="1"/>
    <col min="11787" max="11787" width="16.109375" style="1" customWidth="1"/>
    <col min="11788" max="11788" width="17" style="1" customWidth="1"/>
    <col min="11789" max="12032" width="8.88671875" style="1"/>
    <col min="12033" max="12033" width="16.44140625" style="1" customWidth="1"/>
    <col min="12034" max="12034" width="8.88671875" style="1"/>
    <col min="12035" max="12035" width="10" style="1" customWidth="1"/>
    <col min="12036" max="12036" width="7.21875" style="1" customWidth="1"/>
    <col min="12037" max="12037" width="6.44140625" style="1" customWidth="1"/>
    <col min="12038" max="12038" width="7.88671875" style="1" customWidth="1"/>
    <col min="12039" max="12039" width="5.88671875" style="1" customWidth="1"/>
    <col min="12040" max="12040" width="7.21875" style="1" customWidth="1"/>
    <col min="12041" max="12041" width="7" style="1" customWidth="1"/>
    <col min="12042" max="12042" width="8.88671875" style="1"/>
    <col min="12043" max="12043" width="16.109375" style="1" customWidth="1"/>
    <col min="12044" max="12044" width="17" style="1" customWidth="1"/>
    <col min="12045" max="12288" width="8.88671875" style="1"/>
    <col min="12289" max="12289" width="16.44140625" style="1" customWidth="1"/>
    <col min="12290" max="12290" width="8.88671875" style="1"/>
    <col min="12291" max="12291" width="10" style="1" customWidth="1"/>
    <col min="12292" max="12292" width="7.21875" style="1" customWidth="1"/>
    <col min="12293" max="12293" width="6.44140625" style="1" customWidth="1"/>
    <col min="12294" max="12294" width="7.88671875" style="1" customWidth="1"/>
    <col min="12295" max="12295" width="5.88671875" style="1" customWidth="1"/>
    <col min="12296" max="12296" width="7.21875" style="1" customWidth="1"/>
    <col min="12297" max="12297" width="7" style="1" customWidth="1"/>
    <col min="12298" max="12298" width="8.88671875" style="1"/>
    <col min="12299" max="12299" width="16.109375" style="1" customWidth="1"/>
    <col min="12300" max="12300" width="17" style="1" customWidth="1"/>
    <col min="12301" max="12544" width="8.88671875" style="1"/>
    <col min="12545" max="12545" width="16.44140625" style="1" customWidth="1"/>
    <col min="12546" max="12546" width="8.88671875" style="1"/>
    <col min="12547" max="12547" width="10" style="1" customWidth="1"/>
    <col min="12548" max="12548" width="7.21875" style="1" customWidth="1"/>
    <col min="12549" max="12549" width="6.44140625" style="1" customWidth="1"/>
    <col min="12550" max="12550" width="7.88671875" style="1" customWidth="1"/>
    <col min="12551" max="12551" width="5.88671875" style="1" customWidth="1"/>
    <col min="12552" max="12552" width="7.21875" style="1" customWidth="1"/>
    <col min="12553" max="12553" width="7" style="1" customWidth="1"/>
    <col min="12554" max="12554" width="8.88671875" style="1"/>
    <col min="12555" max="12555" width="16.109375" style="1" customWidth="1"/>
    <col min="12556" max="12556" width="17" style="1" customWidth="1"/>
    <col min="12557" max="12800" width="8.88671875" style="1"/>
    <col min="12801" max="12801" width="16.44140625" style="1" customWidth="1"/>
    <col min="12802" max="12802" width="8.88671875" style="1"/>
    <col min="12803" max="12803" width="10" style="1" customWidth="1"/>
    <col min="12804" max="12804" width="7.21875" style="1" customWidth="1"/>
    <col min="12805" max="12805" width="6.44140625" style="1" customWidth="1"/>
    <col min="12806" max="12806" width="7.88671875" style="1" customWidth="1"/>
    <col min="12807" max="12807" width="5.88671875" style="1" customWidth="1"/>
    <col min="12808" max="12808" width="7.21875" style="1" customWidth="1"/>
    <col min="12809" max="12809" width="7" style="1" customWidth="1"/>
    <col min="12810" max="12810" width="8.88671875" style="1"/>
    <col min="12811" max="12811" width="16.109375" style="1" customWidth="1"/>
    <col min="12812" max="12812" width="17" style="1" customWidth="1"/>
    <col min="12813" max="13056" width="8.88671875" style="1"/>
    <col min="13057" max="13057" width="16.44140625" style="1" customWidth="1"/>
    <col min="13058" max="13058" width="8.88671875" style="1"/>
    <col min="13059" max="13059" width="10" style="1" customWidth="1"/>
    <col min="13060" max="13060" width="7.21875" style="1" customWidth="1"/>
    <col min="13061" max="13061" width="6.44140625" style="1" customWidth="1"/>
    <col min="13062" max="13062" width="7.88671875" style="1" customWidth="1"/>
    <col min="13063" max="13063" width="5.88671875" style="1" customWidth="1"/>
    <col min="13064" max="13064" width="7.21875" style="1" customWidth="1"/>
    <col min="13065" max="13065" width="7" style="1" customWidth="1"/>
    <col min="13066" max="13066" width="8.88671875" style="1"/>
    <col min="13067" max="13067" width="16.109375" style="1" customWidth="1"/>
    <col min="13068" max="13068" width="17" style="1" customWidth="1"/>
    <col min="13069" max="13312" width="8.88671875" style="1"/>
    <col min="13313" max="13313" width="16.44140625" style="1" customWidth="1"/>
    <col min="13314" max="13314" width="8.88671875" style="1"/>
    <col min="13315" max="13315" width="10" style="1" customWidth="1"/>
    <col min="13316" max="13316" width="7.21875" style="1" customWidth="1"/>
    <col min="13317" max="13317" width="6.44140625" style="1" customWidth="1"/>
    <col min="13318" max="13318" width="7.88671875" style="1" customWidth="1"/>
    <col min="13319" max="13319" width="5.88671875" style="1" customWidth="1"/>
    <col min="13320" max="13320" width="7.21875" style="1" customWidth="1"/>
    <col min="13321" max="13321" width="7" style="1" customWidth="1"/>
    <col min="13322" max="13322" width="8.88671875" style="1"/>
    <col min="13323" max="13323" width="16.109375" style="1" customWidth="1"/>
    <col min="13324" max="13324" width="17" style="1" customWidth="1"/>
    <col min="13325" max="13568" width="8.88671875" style="1"/>
    <col min="13569" max="13569" width="16.44140625" style="1" customWidth="1"/>
    <col min="13570" max="13570" width="8.88671875" style="1"/>
    <col min="13571" max="13571" width="10" style="1" customWidth="1"/>
    <col min="13572" max="13572" width="7.21875" style="1" customWidth="1"/>
    <col min="13573" max="13573" width="6.44140625" style="1" customWidth="1"/>
    <col min="13574" max="13574" width="7.88671875" style="1" customWidth="1"/>
    <col min="13575" max="13575" width="5.88671875" style="1" customWidth="1"/>
    <col min="13576" max="13576" width="7.21875" style="1" customWidth="1"/>
    <col min="13577" max="13577" width="7" style="1" customWidth="1"/>
    <col min="13578" max="13578" width="8.88671875" style="1"/>
    <col min="13579" max="13579" width="16.109375" style="1" customWidth="1"/>
    <col min="13580" max="13580" width="17" style="1" customWidth="1"/>
    <col min="13581" max="13824" width="8.88671875" style="1"/>
    <col min="13825" max="13825" width="16.44140625" style="1" customWidth="1"/>
    <col min="13826" max="13826" width="8.88671875" style="1"/>
    <col min="13827" max="13827" width="10" style="1" customWidth="1"/>
    <col min="13828" max="13828" width="7.21875" style="1" customWidth="1"/>
    <col min="13829" max="13829" width="6.44140625" style="1" customWidth="1"/>
    <col min="13830" max="13830" width="7.88671875" style="1" customWidth="1"/>
    <col min="13831" max="13831" width="5.88671875" style="1" customWidth="1"/>
    <col min="13832" max="13832" width="7.21875" style="1" customWidth="1"/>
    <col min="13833" max="13833" width="7" style="1" customWidth="1"/>
    <col min="13834" max="13834" width="8.88671875" style="1"/>
    <col min="13835" max="13835" width="16.109375" style="1" customWidth="1"/>
    <col min="13836" max="13836" width="17" style="1" customWidth="1"/>
    <col min="13837" max="14080" width="8.88671875" style="1"/>
    <col min="14081" max="14081" width="16.44140625" style="1" customWidth="1"/>
    <col min="14082" max="14082" width="8.88671875" style="1"/>
    <col min="14083" max="14083" width="10" style="1" customWidth="1"/>
    <col min="14084" max="14084" width="7.21875" style="1" customWidth="1"/>
    <col min="14085" max="14085" width="6.44140625" style="1" customWidth="1"/>
    <col min="14086" max="14086" width="7.88671875" style="1" customWidth="1"/>
    <col min="14087" max="14087" width="5.88671875" style="1" customWidth="1"/>
    <col min="14088" max="14088" width="7.21875" style="1" customWidth="1"/>
    <col min="14089" max="14089" width="7" style="1" customWidth="1"/>
    <col min="14090" max="14090" width="8.88671875" style="1"/>
    <col min="14091" max="14091" width="16.109375" style="1" customWidth="1"/>
    <col min="14092" max="14092" width="17" style="1" customWidth="1"/>
    <col min="14093" max="14336" width="8.88671875" style="1"/>
    <col min="14337" max="14337" width="16.44140625" style="1" customWidth="1"/>
    <col min="14338" max="14338" width="8.88671875" style="1"/>
    <col min="14339" max="14339" width="10" style="1" customWidth="1"/>
    <col min="14340" max="14340" width="7.21875" style="1" customWidth="1"/>
    <col min="14341" max="14341" width="6.44140625" style="1" customWidth="1"/>
    <col min="14342" max="14342" width="7.88671875" style="1" customWidth="1"/>
    <col min="14343" max="14343" width="5.88671875" style="1" customWidth="1"/>
    <col min="14344" max="14344" width="7.21875" style="1" customWidth="1"/>
    <col min="14345" max="14345" width="7" style="1" customWidth="1"/>
    <col min="14346" max="14346" width="8.88671875" style="1"/>
    <col min="14347" max="14347" width="16.109375" style="1" customWidth="1"/>
    <col min="14348" max="14348" width="17" style="1" customWidth="1"/>
    <col min="14349" max="14592" width="8.88671875" style="1"/>
    <col min="14593" max="14593" width="16.44140625" style="1" customWidth="1"/>
    <col min="14594" max="14594" width="8.88671875" style="1"/>
    <col min="14595" max="14595" width="10" style="1" customWidth="1"/>
    <col min="14596" max="14596" width="7.21875" style="1" customWidth="1"/>
    <col min="14597" max="14597" width="6.44140625" style="1" customWidth="1"/>
    <col min="14598" max="14598" width="7.88671875" style="1" customWidth="1"/>
    <col min="14599" max="14599" width="5.88671875" style="1" customWidth="1"/>
    <col min="14600" max="14600" width="7.21875" style="1" customWidth="1"/>
    <col min="14601" max="14601" width="7" style="1" customWidth="1"/>
    <col min="14602" max="14602" width="8.88671875" style="1"/>
    <col min="14603" max="14603" width="16.109375" style="1" customWidth="1"/>
    <col min="14604" max="14604" width="17" style="1" customWidth="1"/>
    <col min="14605" max="14848" width="8.88671875" style="1"/>
    <col min="14849" max="14849" width="16.44140625" style="1" customWidth="1"/>
    <col min="14850" max="14850" width="8.88671875" style="1"/>
    <col min="14851" max="14851" width="10" style="1" customWidth="1"/>
    <col min="14852" max="14852" width="7.21875" style="1" customWidth="1"/>
    <col min="14853" max="14853" width="6.44140625" style="1" customWidth="1"/>
    <col min="14854" max="14854" width="7.88671875" style="1" customWidth="1"/>
    <col min="14855" max="14855" width="5.88671875" style="1" customWidth="1"/>
    <col min="14856" max="14856" width="7.21875" style="1" customWidth="1"/>
    <col min="14857" max="14857" width="7" style="1" customWidth="1"/>
    <col min="14858" max="14858" width="8.88671875" style="1"/>
    <col min="14859" max="14859" width="16.109375" style="1" customWidth="1"/>
    <col min="14860" max="14860" width="17" style="1" customWidth="1"/>
    <col min="14861" max="15104" width="8.88671875" style="1"/>
    <col min="15105" max="15105" width="16.44140625" style="1" customWidth="1"/>
    <col min="15106" max="15106" width="8.88671875" style="1"/>
    <col min="15107" max="15107" width="10" style="1" customWidth="1"/>
    <col min="15108" max="15108" width="7.21875" style="1" customWidth="1"/>
    <col min="15109" max="15109" width="6.44140625" style="1" customWidth="1"/>
    <col min="15110" max="15110" width="7.88671875" style="1" customWidth="1"/>
    <col min="15111" max="15111" width="5.88671875" style="1" customWidth="1"/>
    <col min="15112" max="15112" width="7.21875" style="1" customWidth="1"/>
    <col min="15113" max="15113" width="7" style="1" customWidth="1"/>
    <col min="15114" max="15114" width="8.88671875" style="1"/>
    <col min="15115" max="15115" width="16.109375" style="1" customWidth="1"/>
    <col min="15116" max="15116" width="17" style="1" customWidth="1"/>
    <col min="15117" max="15360" width="8.88671875" style="1"/>
    <col min="15361" max="15361" width="16.44140625" style="1" customWidth="1"/>
    <col min="15362" max="15362" width="8.88671875" style="1"/>
    <col min="15363" max="15363" width="10" style="1" customWidth="1"/>
    <col min="15364" max="15364" width="7.21875" style="1" customWidth="1"/>
    <col min="15365" max="15365" width="6.44140625" style="1" customWidth="1"/>
    <col min="15366" max="15366" width="7.88671875" style="1" customWidth="1"/>
    <col min="15367" max="15367" width="5.88671875" style="1" customWidth="1"/>
    <col min="15368" max="15368" width="7.21875" style="1" customWidth="1"/>
    <col min="15369" max="15369" width="7" style="1" customWidth="1"/>
    <col min="15370" max="15370" width="8.88671875" style="1"/>
    <col min="15371" max="15371" width="16.109375" style="1" customWidth="1"/>
    <col min="15372" max="15372" width="17" style="1" customWidth="1"/>
    <col min="15373" max="15616" width="8.88671875" style="1"/>
    <col min="15617" max="15617" width="16.44140625" style="1" customWidth="1"/>
    <col min="15618" max="15618" width="8.88671875" style="1"/>
    <col min="15619" max="15619" width="10" style="1" customWidth="1"/>
    <col min="15620" max="15620" width="7.21875" style="1" customWidth="1"/>
    <col min="15621" max="15621" width="6.44140625" style="1" customWidth="1"/>
    <col min="15622" max="15622" width="7.88671875" style="1" customWidth="1"/>
    <col min="15623" max="15623" width="5.88671875" style="1" customWidth="1"/>
    <col min="15624" max="15624" width="7.21875" style="1" customWidth="1"/>
    <col min="15625" max="15625" width="7" style="1" customWidth="1"/>
    <col min="15626" max="15626" width="8.88671875" style="1"/>
    <col min="15627" max="15627" width="16.109375" style="1" customWidth="1"/>
    <col min="15628" max="15628" width="17" style="1" customWidth="1"/>
    <col min="15629" max="15872" width="8.88671875" style="1"/>
    <col min="15873" max="15873" width="16.44140625" style="1" customWidth="1"/>
    <col min="15874" max="15874" width="8.88671875" style="1"/>
    <col min="15875" max="15875" width="10" style="1" customWidth="1"/>
    <col min="15876" max="15876" width="7.21875" style="1" customWidth="1"/>
    <col min="15877" max="15877" width="6.44140625" style="1" customWidth="1"/>
    <col min="15878" max="15878" width="7.88671875" style="1" customWidth="1"/>
    <col min="15879" max="15879" width="5.88671875" style="1" customWidth="1"/>
    <col min="15880" max="15880" width="7.21875" style="1" customWidth="1"/>
    <col min="15881" max="15881" width="7" style="1" customWidth="1"/>
    <col min="15882" max="15882" width="8.88671875" style="1"/>
    <col min="15883" max="15883" width="16.109375" style="1" customWidth="1"/>
    <col min="15884" max="15884" width="17" style="1" customWidth="1"/>
    <col min="15885" max="16128" width="8.88671875" style="1"/>
    <col min="16129" max="16129" width="16.44140625" style="1" customWidth="1"/>
    <col min="16130" max="16130" width="8.88671875" style="1"/>
    <col min="16131" max="16131" width="10" style="1" customWidth="1"/>
    <col min="16132" max="16132" width="7.21875" style="1" customWidth="1"/>
    <col min="16133" max="16133" width="6.44140625" style="1" customWidth="1"/>
    <col min="16134" max="16134" width="7.88671875" style="1" customWidth="1"/>
    <col min="16135" max="16135" width="5.88671875" style="1" customWidth="1"/>
    <col min="16136" max="16136" width="7.21875" style="1" customWidth="1"/>
    <col min="16137" max="16137" width="7" style="1" customWidth="1"/>
    <col min="16138" max="16138" width="8.88671875" style="1"/>
    <col min="16139" max="16139" width="16.109375" style="1" customWidth="1"/>
    <col min="16140" max="16140" width="17" style="1" customWidth="1"/>
    <col min="16141" max="16384" width="8.88671875" style="1"/>
  </cols>
  <sheetData>
    <row r="1" spans="1:20">
      <c r="B1" s="2"/>
      <c r="C1" s="2"/>
      <c r="D1" s="2"/>
    </row>
    <row r="2" spans="1:20" s="4" customFormat="1" ht="21">
      <c r="B2" s="5" t="s">
        <v>0</v>
      </c>
      <c r="K2" s="6"/>
      <c r="L2" s="6"/>
    </row>
    <row r="3" spans="1:20" ht="21">
      <c r="B3" s="7" t="s">
        <v>1</v>
      </c>
      <c r="C3" s="8"/>
    </row>
    <row r="4" spans="1:20" ht="15.6">
      <c r="B4" s="8"/>
      <c r="C4" s="8"/>
    </row>
    <row r="5" spans="1:20" s="10" customFormat="1" ht="19.8">
      <c r="A5" s="9" t="s">
        <v>2</v>
      </c>
      <c r="B5" s="9" t="s">
        <v>3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10</v>
      </c>
      <c r="K5" s="11"/>
      <c r="L5" s="11"/>
    </row>
    <row r="6" spans="1:20" ht="9" customHeight="1">
      <c r="A6" s="12"/>
      <c r="B6" s="13"/>
      <c r="C6" s="13"/>
      <c r="D6" s="13"/>
      <c r="E6" s="13"/>
      <c r="F6" s="13"/>
      <c r="G6" s="13"/>
      <c r="H6" s="12"/>
      <c r="I6" s="13"/>
      <c r="L6" s="3" t="s">
        <v>11</v>
      </c>
    </row>
    <row r="7" spans="1:20" ht="15.6">
      <c r="A7" s="14" t="s">
        <v>12</v>
      </c>
      <c r="B7" s="15">
        <v>0</v>
      </c>
      <c r="C7" s="16">
        <f t="shared" ref="C7:C12" si="0">+B7/$B$17</f>
        <v>0</v>
      </c>
      <c r="D7" s="17">
        <v>0</v>
      </c>
      <c r="E7" s="17">
        <v>0</v>
      </c>
      <c r="F7" s="17">
        <v>0</v>
      </c>
      <c r="G7" s="17">
        <v>0.1</v>
      </c>
      <c r="H7" s="17">
        <v>0</v>
      </c>
      <c r="I7" s="17">
        <v>0</v>
      </c>
      <c r="K7" s="3">
        <f t="shared" ref="K7:K12" si="1">10^-D7</f>
        <v>1</v>
      </c>
      <c r="L7" s="3">
        <f t="shared" ref="L7:L12" si="2">IF(D7=0, 0,K7)</f>
        <v>0</v>
      </c>
      <c r="N7" s="1">
        <v>18</v>
      </c>
    </row>
    <row r="8" spans="1:20" ht="15.6">
      <c r="A8" s="14" t="s">
        <v>13</v>
      </c>
      <c r="B8" s="15">
        <v>0</v>
      </c>
      <c r="C8" s="16">
        <f t="shared" si="0"/>
        <v>0</v>
      </c>
      <c r="D8" s="17">
        <v>0</v>
      </c>
      <c r="E8" s="17">
        <v>0</v>
      </c>
      <c r="F8" s="17">
        <v>0</v>
      </c>
      <c r="G8" s="17">
        <v>0.1</v>
      </c>
      <c r="H8" s="17">
        <v>0</v>
      </c>
      <c r="I8" s="17">
        <v>0</v>
      </c>
      <c r="K8" s="3">
        <f t="shared" si="1"/>
        <v>1</v>
      </c>
      <c r="L8" s="3">
        <f t="shared" si="2"/>
        <v>0</v>
      </c>
      <c r="N8" s="1">
        <f>+N7*O8</f>
        <v>15.299999999999999</v>
      </c>
      <c r="O8" s="1">
        <v>0.85</v>
      </c>
    </row>
    <row r="9" spans="1:20" ht="15.6">
      <c r="A9" s="14" t="s">
        <v>14</v>
      </c>
      <c r="B9" s="15">
        <v>15.3</v>
      </c>
      <c r="C9" s="16">
        <f t="shared" si="0"/>
        <v>0.85000000000000009</v>
      </c>
      <c r="D9" s="17">
        <v>3.75</v>
      </c>
      <c r="E9" s="17">
        <v>7.6</v>
      </c>
      <c r="F9" s="17">
        <v>80</v>
      </c>
      <c r="G9" s="17">
        <v>0.2</v>
      </c>
      <c r="H9" s="17">
        <v>0.99399999999999999</v>
      </c>
      <c r="I9" s="17" t="e">
        <f>+#REF!</f>
        <v>#REF!</v>
      </c>
      <c r="K9" s="3">
        <f t="shared" si="1"/>
        <v>1.7782794100389203E-4</v>
      </c>
      <c r="L9" s="3">
        <f t="shared" si="2"/>
        <v>1.7782794100389203E-4</v>
      </c>
      <c r="N9" s="1">
        <f>+N7-N8</f>
        <v>2.7000000000000011</v>
      </c>
      <c r="O9" s="1">
        <v>0.15</v>
      </c>
      <c r="T9" s="1">
        <v>5885.55</v>
      </c>
    </row>
    <row r="10" spans="1:20" ht="15.6">
      <c r="A10" s="14" t="s">
        <v>15</v>
      </c>
      <c r="B10" s="15">
        <v>2.7</v>
      </c>
      <c r="C10" s="16">
        <f t="shared" si="0"/>
        <v>0.15000000000000002</v>
      </c>
      <c r="D10" s="17">
        <v>3.68</v>
      </c>
      <c r="E10" s="17">
        <v>8</v>
      </c>
      <c r="F10" s="17">
        <v>80</v>
      </c>
      <c r="G10" s="17">
        <v>0.2</v>
      </c>
      <c r="H10" s="17">
        <v>1</v>
      </c>
      <c r="I10" s="17" t="e">
        <f>+#REF!</f>
        <v>#REF!</v>
      </c>
      <c r="K10" s="3">
        <f t="shared" si="1"/>
        <v>2.0892961308540387E-4</v>
      </c>
      <c r="L10" s="3">
        <f t="shared" si="2"/>
        <v>2.0892961308540387E-4</v>
      </c>
      <c r="T10" s="1">
        <f>+T9/11</f>
        <v>535.05000000000007</v>
      </c>
    </row>
    <row r="11" spans="1:20" ht="15.6">
      <c r="A11" s="14" t="s">
        <v>16</v>
      </c>
      <c r="B11" s="15">
        <v>0</v>
      </c>
      <c r="C11" s="16">
        <f t="shared" si="0"/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f t="shared" ref="I11:I12" si="3">+H11*0.55</f>
        <v>0</v>
      </c>
      <c r="K11" s="3">
        <f t="shared" si="1"/>
        <v>1</v>
      </c>
      <c r="L11" s="3">
        <f t="shared" si="2"/>
        <v>0</v>
      </c>
      <c r="T11" s="1">
        <f>+T10*12</f>
        <v>6420.6</v>
      </c>
    </row>
    <row r="12" spans="1:20" ht="15.6">
      <c r="A12" s="14" t="s">
        <v>17</v>
      </c>
      <c r="B12" s="15">
        <v>0</v>
      </c>
      <c r="C12" s="16">
        <f t="shared" si="0"/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f t="shared" si="3"/>
        <v>0</v>
      </c>
      <c r="K12" s="3">
        <f t="shared" si="1"/>
        <v>1</v>
      </c>
      <c r="L12" s="3">
        <f t="shared" si="2"/>
        <v>0</v>
      </c>
    </row>
    <row r="13" spans="1:20" ht="15.6">
      <c r="A13" s="14" t="s">
        <v>18</v>
      </c>
      <c r="B13" s="18" t="s">
        <v>18</v>
      </c>
      <c r="C13" s="16" t="s">
        <v>18</v>
      </c>
      <c r="D13" s="15" t="s">
        <v>18</v>
      </c>
      <c r="E13" s="18" t="s">
        <v>18</v>
      </c>
      <c r="F13" s="19" t="s">
        <v>18</v>
      </c>
      <c r="G13" s="18" t="s">
        <v>18</v>
      </c>
      <c r="H13" s="18">
        <v>0</v>
      </c>
      <c r="I13" s="18" t="s">
        <v>18</v>
      </c>
    </row>
    <row r="14" spans="1:20" ht="15.6">
      <c r="A14" s="14"/>
      <c r="B14" s="18"/>
      <c r="C14" s="16"/>
      <c r="D14" s="15"/>
      <c r="E14" s="18"/>
      <c r="F14" s="19"/>
      <c r="G14" s="18" t="s">
        <v>18</v>
      </c>
      <c r="H14" s="18" t="s">
        <v>18</v>
      </c>
      <c r="I14" s="18" t="s">
        <v>18</v>
      </c>
      <c r="T14" s="1">
        <v>976.56</v>
      </c>
    </row>
    <row r="15" spans="1:20" ht="15.6">
      <c r="A15" s="14"/>
      <c r="B15" s="18"/>
      <c r="C15" s="16"/>
      <c r="D15" s="15"/>
      <c r="E15" s="18"/>
      <c r="F15" s="19"/>
      <c r="G15" s="18"/>
      <c r="H15" s="18"/>
      <c r="I15" s="18"/>
      <c r="T15" s="1">
        <f>T14*12</f>
        <v>11718.72</v>
      </c>
    </row>
    <row r="16" spans="1:20">
      <c r="A16" s="1" t="s">
        <v>19</v>
      </c>
      <c r="B16" s="18"/>
      <c r="C16" s="18"/>
      <c r="D16" s="15">
        <f t="shared" ref="D16:I16" si="4">($B7*D7)+($B8*D8)+($B9*D9)+($B10*D10)+($B11*D11)+($B12*D12)</f>
        <v>67.311000000000007</v>
      </c>
      <c r="E16" s="15">
        <f t="shared" si="4"/>
        <v>137.88</v>
      </c>
      <c r="F16" s="15">
        <f t="shared" si="4"/>
        <v>1440</v>
      </c>
      <c r="G16" s="15">
        <f t="shared" si="4"/>
        <v>3.6000000000000005</v>
      </c>
      <c r="H16" s="15">
        <f t="shared" si="4"/>
        <v>17.908200000000001</v>
      </c>
      <c r="I16" s="15" t="e">
        <f t="shared" si="4"/>
        <v>#REF!</v>
      </c>
      <c r="L16" s="15">
        <f>($B7*L7)+($B8*L8)+($B9*L9)+($B10*L10)+($B11*L11)+($B12*L12)</f>
        <v>3.2848774526901387E-3</v>
      </c>
      <c r="M16" s="1" t="s">
        <v>5</v>
      </c>
      <c r="T16" s="1">
        <v>3246.6</v>
      </c>
    </row>
    <row r="17" spans="1:13" ht="15.6" customHeight="1">
      <c r="A17" s="2" t="s">
        <v>20</v>
      </c>
      <c r="B17" s="20">
        <f>SUM(B7:B12)</f>
        <v>18</v>
      </c>
      <c r="C17" s="20"/>
      <c r="D17" s="21">
        <f>M17</f>
        <v>3.7387533329162399</v>
      </c>
      <c r="E17" s="21">
        <f>+E16 / $B17</f>
        <v>7.66</v>
      </c>
      <c r="F17" s="21">
        <f>+F16 / $B17</f>
        <v>80</v>
      </c>
      <c r="G17" s="21">
        <f>+G16 / $B17</f>
        <v>0.20000000000000004</v>
      </c>
      <c r="H17" s="21">
        <f>+H16 / $B17</f>
        <v>0.99490000000000001</v>
      </c>
      <c r="I17" s="21" t="e">
        <f>+I16 / $B17</f>
        <v>#REF!</v>
      </c>
      <c r="L17" s="21">
        <f>+L16 / $B17</f>
        <v>1.824931918161188E-4</v>
      </c>
      <c r="M17" s="1">
        <f>-LOG(L17)</f>
        <v>3.7387533329162399</v>
      </c>
    </row>
    <row r="18" spans="1:13" ht="12.6" customHeight="1">
      <c r="B18" s="22"/>
      <c r="C18" s="22"/>
      <c r="D18" s="22">
        <f>+($B7*D7) + ($B8*D8) + ($B9*D9) + ($B10*D10) + ($B11*D11) + ($B12*D12)</f>
        <v>67.311000000000007</v>
      </c>
      <c r="E18" s="22">
        <f>+($B7*E7) + ($B8*E8) + ($B9*E9) + ($B10*E10) + ($B11*E11) + ($B12*E12)</f>
        <v>137.88</v>
      </c>
      <c r="F18" s="22">
        <f>+($B7*F7) + ($B8*F8) + ($B9*F9) + ($B10*F10) + ($B11*F11) + ($B12*F12)</f>
        <v>1440</v>
      </c>
      <c r="G18" s="22">
        <f>+($B7*G7) + ($B8*G8) + ($B9*G9) + ($B10*G10) + ($B11*G11) + ($B12*G12)</f>
        <v>3.6000000000000005</v>
      </c>
      <c r="H18" s="22">
        <f>+($B7*H7) + ($B8*H8) + ($B9*H9) + ($B10*H10) + ($B11*H11) + ($B12*H12)</f>
        <v>17.908200000000001</v>
      </c>
      <c r="I18" s="22" t="e">
        <f>+($B7*I7)+($B8*I8)+($B9*I9)+($B10*I10)+($B11*I11)+($B12*I12)</f>
        <v>#REF!</v>
      </c>
    </row>
    <row r="19" spans="1:13" ht="13.65" customHeight="1">
      <c r="D19" s="1" t="s">
        <v>18</v>
      </c>
      <c r="I19" s="1" t="s">
        <v>18</v>
      </c>
    </row>
    <row r="21" spans="1:13">
      <c r="A21" s="2" t="s">
        <v>21</v>
      </c>
      <c r="I21" s="22" t="s">
        <v>18</v>
      </c>
    </row>
    <row r="22" spans="1:13" ht="15">
      <c r="A22" s="23" t="s">
        <v>18</v>
      </c>
      <c r="B22" s="23"/>
      <c r="C22" s="23"/>
      <c r="D22" s="23"/>
      <c r="E22" s="23"/>
      <c r="F22" s="23"/>
      <c r="G22" s="23"/>
      <c r="H22" s="23"/>
    </row>
    <row r="23" spans="1:13" ht="15">
      <c r="A23" s="23" t="s">
        <v>22</v>
      </c>
      <c r="B23" s="23"/>
      <c r="C23" s="23"/>
      <c r="D23" s="23"/>
      <c r="E23" s="23"/>
      <c r="F23" s="23"/>
      <c r="G23" s="23"/>
      <c r="H23" s="23"/>
    </row>
    <row r="24" spans="1:13" ht="18.600000000000001">
      <c r="A24" s="23" t="s">
        <v>23</v>
      </c>
      <c r="B24" s="23"/>
      <c r="C24" s="23"/>
      <c r="D24" s="23"/>
      <c r="E24" s="23"/>
      <c r="F24" s="23"/>
      <c r="G24" s="23"/>
      <c r="H24" s="23"/>
    </row>
    <row r="25" spans="1:13" ht="15">
      <c r="A25" s="23" t="s">
        <v>24</v>
      </c>
      <c r="B25" s="23"/>
      <c r="C25" s="23"/>
      <c r="D25" s="23"/>
      <c r="E25" s="23"/>
      <c r="F25" s="23"/>
      <c r="G25" s="23"/>
      <c r="H25" s="23"/>
    </row>
    <row r="26" spans="1:13" ht="15">
      <c r="A26" s="23" t="s">
        <v>25</v>
      </c>
      <c r="B26" s="23"/>
      <c r="C26" s="23"/>
      <c r="D26" s="23"/>
      <c r="E26" s="23"/>
      <c r="F26" s="23"/>
      <c r="G26" s="23"/>
      <c r="H26" s="23"/>
    </row>
    <row r="27" spans="1:13" ht="15">
      <c r="A27" s="23"/>
      <c r="B27" s="23"/>
      <c r="C27" s="23"/>
      <c r="D27" s="23"/>
      <c r="E27" s="23"/>
      <c r="F27" s="23"/>
      <c r="G27" s="23"/>
      <c r="H27" s="23"/>
    </row>
    <row r="28" spans="1:13" ht="15">
      <c r="A28" s="23"/>
      <c r="B28" s="23"/>
      <c r="C28" s="23"/>
      <c r="D28" s="23"/>
      <c r="E28" s="23"/>
      <c r="F28" s="23"/>
      <c r="G28" s="23"/>
      <c r="H28" s="23"/>
    </row>
    <row r="29" spans="1:13" ht="15">
      <c r="A29" s="23"/>
      <c r="B29" s="23"/>
      <c r="C29" s="23"/>
      <c r="D29" s="23"/>
      <c r="E29" s="23"/>
      <c r="F29" s="23"/>
      <c r="G29" s="23"/>
      <c r="H29" s="23"/>
    </row>
    <row r="30" spans="1:13" ht="15">
      <c r="A30" s="23"/>
      <c r="B30" s="23"/>
      <c r="C30" s="23"/>
      <c r="D30" s="23"/>
      <c r="E30" s="23"/>
      <c r="F30" s="23"/>
      <c r="G30" s="23"/>
      <c r="H30" s="23"/>
    </row>
    <row r="31" spans="1:13" ht="15">
      <c r="A31" s="23"/>
      <c r="B31" s="23"/>
      <c r="C31" s="23"/>
      <c r="D31" s="23"/>
      <c r="E31" s="23"/>
      <c r="F31" s="23"/>
      <c r="G31" s="23"/>
      <c r="H31" s="23"/>
    </row>
  </sheetData>
  <conditionalFormatting sqref="H13:H15">
    <cfRule type="cellIs" dxfId="0" priority="1" stopIfTrue="1" operator="equal">
      <formula>0</formula>
    </cfRule>
  </conditionalFormatting>
  <printOptions horizontalCentered="1"/>
  <pageMargins left="0.75" right="0.75" top="1" bottom="1" header="0.5" footer="0.5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89EF3-D2CC-4C3F-BFFD-C0C4A2C6E8C0}">
  <sheetPr>
    <tabColor rgb="FF002060"/>
    <pageSetUpPr fitToPage="1"/>
  </sheetPr>
  <dimension ref="A1:I30"/>
  <sheetViews>
    <sheetView zoomScale="90" zoomScaleNormal="90" workbookViewId="0">
      <selection activeCell="F22" sqref="F22"/>
    </sheetView>
  </sheetViews>
  <sheetFormatPr defaultColWidth="9.109375" defaultRowHeight="14.4"/>
  <cols>
    <col min="1" max="1" width="9.109375" style="86"/>
    <col min="2" max="2" width="14.6640625" style="86" customWidth="1"/>
    <col min="3" max="5" width="16.6640625" style="86" customWidth="1"/>
    <col min="6" max="9" width="15.77734375" style="86" customWidth="1"/>
    <col min="10" max="16384" width="9.109375" style="86"/>
  </cols>
  <sheetData>
    <row r="1" spans="1:9" ht="27" customHeight="1" thickBot="1">
      <c r="B1" s="109"/>
      <c r="C1" s="109"/>
      <c r="D1" s="109"/>
      <c r="E1" s="109"/>
    </row>
    <row r="2" spans="1:9">
      <c r="A2" s="87"/>
      <c r="B2" s="88" t="s">
        <v>408</v>
      </c>
      <c r="C2" s="89"/>
      <c r="D2" s="89"/>
      <c r="E2" s="90"/>
      <c r="F2" s="91"/>
    </row>
    <row r="3" spans="1:9" ht="28.8">
      <c r="A3" s="87"/>
      <c r="B3" s="110" t="s">
        <v>409</v>
      </c>
      <c r="C3" s="111" t="s">
        <v>410</v>
      </c>
      <c r="D3" s="111" t="s">
        <v>411</v>
      </c>
      <c r="E3" s="112" t="s">
        <v>412</v>
      </c>
      <c r="F3" s="91"/>
    </row>
    <row r="4" spans="1:9">
      <c r="A4" s="87"/>
      <c r="B4" s="113" t="s">
        <v>413</v>
      </c>
      <c r="C4" s="114" t="s">
        <v>414</v>
      </c>
      <c r="D4" s="114" t="s">
        <v>415</v>
      </c>
      <c r="E4" s="115" t="s">
        <v>416</v>
      </c>
      <c r="F4" s="91"/>
    </row>
    <row r="5" spans="1:9">
      <c r="A5" s="87"/>
      <c r="B5" s="113" t="s">
        <v>417</v>
      </c>
      <c r="C5" s="114" t="s">
        <v>418</v>
      </c>
      <c r="D5" s="114" t="s">
        <v>419</v>
      </c>
      <c r="E5" s="115" t="s">
        <v>420</v>
      </c>
      <c r="F5" s="91"/>
    </row>
    <row r="6" spans="1:9" ht="15" thickBot="1">
      <c r="A6" s="87"/>
      <c r="B6" s="116" t="s">
        <v>421</v>
      </c>
      <c r="C6" s="117" t="s">
        <v>422</v>
      </c>
      <c r="D6" s="117" t="s">
        <v>423</v>
      </c>
      <c r="E6" s="118" t="s">
        <v>424</v>
      </c>
      <c r="F6" s="91"/>
    </row>
    <row r="7" spans="1:9">
      <c r="A7" s="87"/>
      <c r="B7" s="119" t="s">
        <v>425</v>
      </c>
      <c r="C7" s="120"/>
      <c r="D7" s="120"/>
      <c r="E7" s="121"/>
      <c r="F7" s="91"/>
    </row>
    <row r="8" spans="1:9">
      <c r="A8" s="87"/>
      <c r="B8" s="92" t="s">
        <v>426</v>
      </c>
      <c r="C8" s="93"/>
      <c r="D8" s="93"/>
      <c r="E8" s="112" t="s">
        <v>427</v>
      </c>
      <c r="F8" s="91"/>
      <c r="G8" s="122"/>
      <c r="H8" s="122"/>
      <c r="I8" s="122"/>
    </row>
    <row r="9" spans="1:9">
      <c r="A9" s="87"/>
      <c r="B9" s="123" t="s">
        <v>428</v>
      </c>
      <c r="C9" s="124"/>
      <c r="D9" s="124"/>
      <c r="E9" s="125" t="s">
        <v>429</v>
      </c>
      <c r="F9" s="91"/>
    </row>
    <row r="10" spans="1:9">
      <c r="A10" s="87"/>
      <c r="B10" s="123" t="s">
        <v>430</v>
      </c>
      <c r="C10" s="124"/>
      <c r="D10" s="124"/>
      <c r="E10" s="103" t="s">
        <v>431</v>
      </c>
      <c r="F10" s="91"/>
    </row>
    <row r="11" spans="1:9">
      <c r="A11" s="87"/>
      <c r="B11" s="123" t="s">
        <v>432</v>
      </c>
      <c r="C11" s="124"/>
      <c r="D11" s="124"/>
      <c r="E11" s="125" t="s">
        <v>429</v>
      </c>
      <c r="F11" s="91"/>
    </row>
    <row r="12" spans="1:9">
      <c r="A12" s="87"/>
      <c r="B12" s="123" t="s">
        <v>433</v>
      </c>
      <c r="C12" s="124"/>
      <c r="D12" s="124"/>
      <c r="E12" s="115" t="s">
        <v>48</v>
      </c>
      <c r="F12" s="91"/>
    </row>
    <row r="13" spans="1:9">
      <c r="A13" s="87"/>
      <c r="B13" s="123" t="s">
        <v>434</v>
      </c>
      <c r="C13" s="124"/>
      <c r="D13" s="124"/>
      <c r="E13" s="115" t="s">
        <v>48</v>
      </c>
      <c r="F13" s="91"/>
    </row>
    <row r="14" spans="1:9" ht="15" customHeight="1">
      <c r="A14" s="87"/>
      <c r="B14" s="126" t="s">
        <v>435</v>
      </c>
      <c r="C14" s="127"/>
      <c r="D14" s="127"/>
      <c r="E14" s="128"/>
      <c r="F14" s="91"/>
    </row>
    <row r="15" spans="1:9" ht="15.75" customHeight="1" thickBot="1">
      <c r="A15" s="87"/>
      <c r="B15" s="126" t="s">
        <v>436</v>
      </c>
      <c r="C15" s="127"/>
      <c r="D15" s="127"/>
      <c r="E15" s="128" t="s">
        <v>437</v>
      </c>
      <c r="F15" s="91"/>
    </row>
    <row r="16" spans="1:9" ht="15" customHeight="1">
      <c r="A16" s="87"/>
      <c r="B16" s="88" t="s">
        <v>438</v>
      </c>
      <c r="C16" s="89"/>
      <c r="D16" s="89"/>
      <c r="E16" s="90"/>
      <c r="F16" s="91"/>
    </row>
    <row r="17" spans="1:8">
      <c r="A17" s="87"/>
      <c r="B17" s="110" t="s">
        <v>5</v>
      </c>
      <c r="C17" s="111" t="s">
        <v>417</v>
      </c>
      <c r="D17" s="111" t="s">
        <v>413</v>
      </c>
      <c r="E17" s="112" t="s">
        <v>439</v>
      </c>
      <c r="F17" s="91"/>
    </row>
    <row r="18" spans="1:8">
      <c r="A18" s="87"/>
      <c r="B18" s="129" t="s">
        <v>440</v>
      </c>
      <c r="C18" s="130" t="s">
        <v>441</v>
      </c>
      <c r="D18" s="130" t="s">
        <v>442</v>
      </c>
      <c r="E18" s="131" t="s">
        <v>443</v>
      </c>
      <c r="F18" s="91"/>
    </row>
    <row r="19" spans="1:8" ht="15" thickBot="1">
      <c r="A19" s="87"/>
      <c r="B19" s="132" t="s">
        <v>444</v>
      </c>
      <c r="C19" s="133" t="s">
        <v>445</v>
      </c>
      <c r="D19" s="133" t="s">
        <v>443</v>
      </c>
      <c r="E19" s="134" t="s">
        <v>446</v>
      </c>
      <c r="F19" s="91"/>
    </row>
    <row r="20" spans="1:8">
      <c r="A20" s="87"/>
      <c r="B20" s="135" t="s">
        <v>447</v>
      </c>
      <c r="C20" s="136" t="s">
        <v>442</v>
      </c>
      <c r="D20" s="136" t="s">
        <v>448</v>
      </c>
      <c r="E20" s="137" t="s">
        <v>449</v>
      </c>
      <c r="F20" s="91"/>
    </row>
    <row r="21" spans="1:8" ht="15" customHeight="1">
      <c r="A21" s="87"/>
      <c r="B21" s="138" t="s">
        <v>450</v>
      </c>
      <c r="C21" s="139" t="s">
        <v>443</v>
      </c>
      <c r="D21" s="139" t="s">
        <v>449</v>
      </c>
      <c r="E21" s="140" t="s">
        <v>451</v>
      </c>
      <c r="F21" s="91"/>
    </row>
    <row r="22" spans="1:8" ht="24.6">
      <c r="A22" s="87"/>
      <c r="B22" s="141" t="s">
        <v>452</v>
      </c>
      <c r="C22" s="142" t="s">
        <v>453</v>
      </c>
      <c r="D22" s="142" t="s">
        <v>451</v>
      </c>
      <c r="E22" s="143" t="s">
        <v>454</v>
      </c>
      <c r="F22" s="91"/>
      <c r="H22" s="86" t="s">
        <v>455</v>
      </c>
    </row>
    <row r="23" spans="1:8" ht="28.5" customHeight="1">
      <c r="A23" s="87"/>
      <c r="B23" s="141" t="s">
        <v>456</v>
      </c>
      <c r="C23" s="142" t="s">
        <v>449</v>
      </c>
      <c r="D23" s="142" t="s">
        <v>454</v>
      </c>
      <c r="E23" s="143" t="s">
        <v>457</v>
      </c>
      <c r="F23" s="91"/>
    </row>
    <row r="24" spans="1:8" ht="15" customHeight="1">
      <c r="A24" s="87"/>
      <c r="B24" s="138" t="s">
        <v>458</v>
      </c>
      <c r="C24" s="144" t="s">
        <v>459</v>
      </c>
      <c r="D24" s="144" t="s">
        <v>457</v>
      </c>
      <c r="E24" s="145" t="s">
        <v>460</v>
      </c>
      <c r="F24" s="91"/>
    </row>
    <row r="25" spans="1:8" ht="15" customHeight="1" thickBot="1">
      <c r="A25" s="87"/>
      <c r="B25" s="146" t="s">
        <v>461</v>
      </c>
      <c r="C25" s="147" t="s">
        <v>454</v>
      </c>
      <c r="D25" s="147" t="s">
        <v>460</v>
      </c>
      <c r="E25" s="148" t="s">
        <v>462</v>
      </c>
      <c r="F25" s="91"/>
    </row>
    <row r="26" spans="1:8">
      <c r="A26" s="87"/>
      <c r="B26" s="149" t="s">
        <v>463</v>
      </c>
      <c r="C26" s="150" t="s">
        <v>457</v>
      </c>
      <c r="D26" s="150" t="s">
        <v>464</v>
      </c>
      <c r="E26" s="151" t="s">
        <v>465</v>
      </c>
      <c r="F26" s="91"/>
    </row>
    <row r="27" spans="1:8" ht="15" customHeight="1">
      <c r="A27" s="87"/>
      <c r="B27" s="129" t="s">
        <v>466</v>
      </c>
      <c r="C27" s="130" t="s">
        <v>460</v>
      </c>
      <c r="D27" s="130" t="s">
        <v>465</v>
      </c>
      <c r="E27" s="131" t="s">
        <v>467</v>
      </c>
      <c r="F27" s="91"/>
    </row>
    <row r="28" spans="1:8">
      <c r="A28" s="87"/>
      <c r="B28" s="129" t="s">
        <v>468</v>
      </c>
      <c r="C28" s="130" t="s">
        <v>462</v>
      </c>
      <c r="D28" s="130" t="s">
        <v>469</v>
      </c>
      <c r="E28" s="131" t="s">
        <v>470</v>
      </c>
      <c r="F28" s="91"/>
    </row>
    <row r="29" spans="1:8" ht="15" thickBot="1">
      <c r="A29" s="87"/>
      <c r="B29" s="152" t="s">
        <v>471</v>
      </c>
      <c r="C29" s="153" t="s">
        <v>472</v>
      </c>
      <c r="D29" s="153" t="s">
        <v>473</v>
      </c>
      <c r="E29" s="154" t="s">
        <v>474</v>
      </c>
      <c r="F29" s="91"/>
    </row>
    <row r="30" spans="1:8">
      <c r="B30" s="108"/>
      <c r="C30" s="108"/>
      <c r="D30" s="108"/>
      <c r="E30" s="108"/>
    </row>
  </sheetData>
  <mergeCells count="12">
    <mergeCell ref="B11:D11"/>
    <mergeCell ref="B12:D12"/>
    <mergeCell ref="B13:D13"/>
    <mergeCell ref="B14:E14"/>
    <mergeCell ref="B15:E15"/>
    <mergeCell ref="B16:E16"/>
    <mergeCell ref="B2:E2"/>
    <mergeCell ref="B7:E7"/>
    <mergeCell ref="B8:D8"/>
    <mergeCell ref="G8:I8"/>
    <mergeCell ref="B9:D9"/>
    <mergeCell ref="B10:D10"/>
  </mergeCells>
  <printOptions horizont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Master</vt:lpstr>
      <vt:lpstr>Wine Methods FLOW CHARTS</vt:lpstr>
      <vt:lpstr>pH  and TA Info</vt:lpstr>
      <vt:lpstr>pH-TA-Adj effects-impact</vt:lpstr>
      <vt:lpstr>OPTI-Red FT Rouge</vt:lpstr>
      <vt:lpstr>Yeast</vt:lpstr>
      <vt:lpstr>Chemicals and functions</vt:lpstr>
      <vt:lpstr>Wine Blend Caluator</vt:lpstr>
      <vt:lpstr>pH-TA-SO2 ANALYSIS AND CONTROL</vt:lpstr>
      <vt:lpstr>Master!Print_Area</vt:lpstr>
      <vt:lpstr>'pH-TA-Adj effects-impact'!Print_Area</vt:lpstr>
      <vt:lpstr>'pH-TA-SO2 ANALYSIS AND CONTROL'!Print_Area</vt:lpstr>
      <vt:lpstr>'Wine Blend Caluator'!Print_Area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Poirier</dc:creator>
  <cp:lastModifiedBy>Charles Poirier</cp:lastModifiedBy>
  <dcterms:created xsi:type="dcterms:W3CDTF">2022-09-23T04:31:48Z</dcterms:created>
  <dcterms:modified xsi:type="dcterms:W3CDTF">2022-09-23T04:56:32Z</dcterms:modified>
</cp:coreProperties>
</file>